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0l+71KCX7kDFTokfVUNHJjoD7Ok6Bp8Nw143xbWpB1cOo+9FFJIDI0cVS2PSVXVnDly2KGOY6MkjLEY2iJU4Gw==" workbookSaltValue="cbpNzqWBWk3F5/e3/8re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BH11" i="16"/>
  <c r="BM16" i="11"/>
  <c r="BF10" i="11"/>
  <c r="S13" i="16"/>
  <c r="P13" i="16"/>
  <c r="AM13" i="20"/>
  <c r="K18" i="2"/>
  <c r="M13" i="2"/>
  <c r="M18" i="2"/>
  <c r="N13" i="2"/>
  <c r="N18" i="2"/>
  <c r="T13" i="12"/>
  <c r="BM12" i="11"/>
  <c r="BJ12" i="11"/>
  <c r="BK17" i="11"/>
  <c r="BU11" i="17"/>
  <c r="BW12" i="20"/>
  <c r="BW10" i="20"/>
  <c r="T13" i="16"/>
  <c r="BG12" i="11"/>
  <c r="AQ10" i="21"/>
  <c r="BM17" i="11"/>
  <c r="BJ16" i="11"/>
  <c r="T13" i="20"/>
  <c r="BF15" i="8"/>
  <c r="BF9" i="8"/>
  <c r="AU18" i="21"/>
  <c r="AH13" i="16"/>
  <c r="U9" i="17"/>
  <c r="U19" i="17" s="1"/>
  <c r="AP13" i="16"/>
  <c r="V9" i="16"/>
  <c r="T18" i="17"/>
  <c r="BG15" i="13"/>
  <c r="BE16" i="13"/>
  <c r="BE15" i="13"/>
  <c r="AX20" i="20"/>
  <c r="S19" i="8" l="1"/>
  <c r="BG10" i="8"/>
  <c r="B9" i="6"/>
  <c r="L16" i="2"/>
  <c r="BH16" i="11"/>
  <c r="BH10" i="16"/>
  <c r="BH10" i="11"/>
  <c r="AZ12" i="11"/>
  <c r="BU16" i="17"/>
  <c r="BW11" i="20"/>
  <c r="BU10" i="17"/>
  <c r="AP17" i="20"/>
  <c r="BG15" i="11"/>
  <c r="BI15" i="11"/>
  <c r="V11" i="11"/>
  <c r="BL17" i="11"/>
  <c r="BH17" i="16"/>
  <c r="BE9" i="13"/>
  <c r="AL16" i="11"/>
  <c r="C16" i="6"/>
  <c r="AB13" i="21"/>
  <c r="T9" i="11"/>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AG20" i="20"/>
  <c r="K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W20" i="20"/>
  <c r="AC20" i="20"/>
  <c r="O10" i="11"/>
  <c r="AP20" i="20"/>
  <c r="AH20" i="20"/>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9" i="21"/>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Z20" i="16"/>
  <c r="P20" i="16"/>
  <c r="AS20" i="16"/>
  <c r="BS20" i="16"/>
  <c r="Y20" i="17"/>
  <c r="AA20" i="11"/>
  <c r="N20" i="17"/>
  <c r="AR20" i="16"/>
  <c r="N20" i="16"/>
  <c r="AW20" i="16"/>
  <c r="BO20" i="16"/>
  <c r="AU20" i="11"/>
  <c r="O20" i="16"/>
  <c r="AH20" i="11"/>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Q20" i="11"/>
  <c r="AG20" i="17"/>
  <c r="AI20" i="21"/>
  <c r="BB20" i="16"/>
  <c r="AM20" i="17"/>
  <c r="U20" i="20"/>
  <c r="H20" i="12"/>
  <c r="AL20" i="21"/>
  <c r="AM20" i="11"/>
  <c r="I20" i="17"/>
  <c r="K20" i="12"/>
  <c r="AR20" i="17"/>
  <c r="BQ20" i="16"/>
  <c r="E20" i="12"/>
  <c r="AA20" i="16"/>
  <c r="T20" i="17"/>
  <c r="AB20" i="17"/>
  <c r="K20" i="21"/>
  <c r="AF20" i="16"/>
  <c r="AN20" i="17"/>
  <c r="L20" i="21"/>
  <c r="F20" i="17"/>
  <c r="AI20" i="16"/>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M19" i="11" l="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<sst xmlns="http://schemas.openxmlformats.org/spreadsheetml/2006/main" count="2102" uniqueCount="918">
  <si>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</si>
  <si>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</si>
  <si>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</si>
  <si>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</si>
  <si>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</si>
  <si>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</si>
  <si>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</si>
  <si>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</si>
  <si>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</si>
  <si>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</si>
  <si>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</si>
  <si>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</si>
  <si>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</si>
  <si>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</si>
  <si>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</si>
  <si>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</si>
  <si>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</si>
  <si>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</si>
  <si>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</si>
  <si>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</si>
  <si>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</si>
  <si>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</si>
  <si>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</si>
  <si>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</si>
  <si>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</si>
  <si>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</si>
  <si>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</si>
  <si>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</si>
  <si>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</si>
  <si>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</si>
  <si>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</si>
  <si>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</si>
  <si>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</si>
  <si>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</si>
  <si>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</si>
  <si>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</si>
  <si>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</si>
  <si>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</si>
  <si>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</si>
  <si>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</si>
  <si>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</si>
  <si>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</si>
  <si>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</si>
  <si>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</si>
  <si>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</si>
  <si>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</si>
  <si>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</si>
  <si>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</si>
  <si>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</si>
  <si>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</si>
  <si>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</si>
  <si>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</si>
  <si>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</si>
  <si>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</si>
  <si>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</si>
  <si>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</si>
  <si>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</si>
  <si>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</si>
  <si>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</si>
  <si>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</si>
  <si>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</si>
  <si>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</si>
  <si>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</si>
  <si>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</si>
  <si>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</si>
  <si>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</si>
  <si>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</si>
  <si>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</si>
  <si>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</si>
  <si>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</si>
  <si>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</si>
  <si>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</si>
  <si>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</si>
  <si>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</si>
  <si>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</si>
  <si>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</si>
  <si>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</si>
  <si>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</si>
  <si>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</si>
  <si>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</si>
  <si>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</si>
  <si>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</si>
  <si>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</si>
  <si>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</si>
  <si>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</si>
  <si>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</si>
  <si>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</si>
  <si>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</si>
  <si>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</si>
  <si>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</si>
  <si>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</si>
  <si>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</si>
  <si>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</si>
  <si>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</si>
  <si>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</si>
  <si>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</si>
  <si>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</si>
  <si>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</si>
  <si>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</si>
  <si>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</si>
  <si>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</si>
  <si>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</si>
  <si>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</si>
  <si>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</si>
  <si>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</si>
  <si>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</si>
  <si>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</si>
  <si>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</si>
  <si>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</si>
  <si>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</si>
  <si>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</si>
  <si>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</si>
  <si>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</si>
  <si>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</si>
  <si>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</si>
  <si>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</si>
  <si>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</si>
  <si>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</si>
  <si>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</si>
  <si>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</si>
  <si>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</si>
  <si>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</si>
  <si>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</si>
  <si>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</si>
  <si>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</si>
  <si>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</si>
  <si>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</si>
  <si>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</si>
  <si>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</si>
  <si>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</si>
  <si>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</si>
  <si>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</si>
  <si>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</si>
  <si>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</si>
  <si>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</si>
  <si>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</si>
  <si>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</si>
  <si>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</si>
  <si>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</si>
  <si>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</si>
  <si>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</si>
  <si>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</si>
  <si>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</si>
  <si>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</si>
  <si>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</si>
  <si>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</si>
  <si>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</si>
  <si>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</si>
  <si>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</si>
  <si>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</si>
  <si>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</si>
  <si>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</si>
  <si>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</si>
  <si>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</si>
  <si>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</si>
  <si>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</si>
  <si>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</si>
  <si>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</si>
  <si>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</si>
  <si>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</si>
  <si>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</si>
  <si>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</si>
  <si>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</si>
  <si>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</si>
  <si>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</si>
  <si>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</si>
  <si>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</si>
  <si>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</si>
  <si>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</si>
  <si>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</si>
  <si>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</si>
  <si>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</si>
  <si>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</si>
  <si>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</si>
  <si>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</si>
  <si>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</si>
  <si>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</si>
  <si>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</si>
  <si>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</si>
  <si>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</si>
  <si>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</si>
  <si>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</si>
  <si>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</si>
  <si>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</si>
  <si>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</si>
  <si>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</si>
  <si>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</si>
  <si>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</si>
  <si>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</si>
  <si>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</si>
  <si>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</si>
  <si>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</si>
  <si>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</si>
  <si>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</si>
  <si>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</si>
  <si>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</si>
  <si>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</si>
  <si>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</si>
  <si>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</si>
  <si>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</si>
  <si>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</si>
  <si>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</si>
  <si>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</si>
  <si>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</si>
  <si>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</si>
  <si>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</si>
  <si>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</si>
  <si>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</si>
  <si>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</si>
  <si>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</si>
  <si>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</si>
  <si>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</si>
  <si>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</si>
  <si>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</si>
  <si>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</si>
  <si>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</si>
  <si>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</si>
  <si>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</si>
  <si>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</si>
  <si>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</si>
  <si>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</si>
  <si>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</si>
  <si>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</si>
  <si>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</si>
  <si>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</si>
  <si>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</si>
  <si>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</si>
  <si>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</si>
  <si>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</si>
  <si>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</si>
  <si>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</si>
  <si>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</si>
  <si>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</si>
  <si>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</si>
  <si>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</si>
  <si>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</si>
  <si>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</si>
  <si>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</si>
  <si>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</si>
  <si>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</si>
  <si>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</si>
  <si>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</si>
  <si>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</si>
  <si>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</si>
  <si>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</si>
  <si>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</si>
  <si>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</si>
  <si>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</si>
  <si>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</si>
  <si>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</si>
  <si>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</si>
  <si>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</si>
  <si>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</si>
  <si>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</si>
  <si>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</si>
  <si>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</si>
  <si>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</si>
  <si>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</si>
  <si>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</si>
  <si>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</si>
  <si>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</si>
  <si>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</si>
  <si>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</si>
  <si>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</si>
  <si>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</si>
  <si>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</si>
  <si>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</si>
  <si>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</si>
  <si>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</si>
  <si>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</si>
  <si>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</si>
  <si>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</si>
  <si>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</si>
  <si>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</si>
  <si>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</si>
  <si>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</si>
  <si>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</si>
  <si>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</si>
  <si>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</si>
  <si>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</si>
  <si>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</si>
  <si>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</si>
  <si>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</si>
  <si>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</si>
  <si>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</si>
  <si>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</si>
  <si>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</si>
  <si>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</si>
  <si>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</si>
  <si>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</si>
  <si>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</si>
  <si>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</si>
  <si>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</si>
  <si>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</si>
  <si>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</si>
  <si>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</si>
  <si>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</si>
  <si>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</si>
  <si>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</si>
  <si>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</si>
  <si>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</si>
  <si>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</si>
  <si>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</si>
  <si>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</si>
  <si>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</si>
  <si>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</si>
  <si>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</si>
  <si>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</si>
  <si>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</si>
  <si>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</si>
  <si>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</si>
  <si>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</si>
  <si>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</si>
  <si>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</si>
  <si>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</si>
  <si>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</si>
  <si>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</si>
  <si>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</si>
  <si>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</si>
  <si>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</si>
  <si>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</si>
  <si>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</si>
  <si>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</si>
  <si>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</si>
  <si>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</si>
  <si>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</si>
  <si>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</si>
  <si>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</si>
  <si>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</si>
  <si>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</si>
  <si>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</si>
  <si>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</si>
  <si>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</si>
  <si>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</si>
  <si>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</si>
  <si>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</si>
  <si>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</si>
  <si>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</si>
  <si>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</si>
  <si>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</si>
  <si>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</si>
  <si>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</si>
  <si>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</si>
  <si>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</si>
  <si>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</si>
  <si>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</si>
  <si>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</si>
  <si>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</si>
  <si>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</si>
  <si>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</si>
  <si>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</si>
  <si>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</si>
  <si>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</si>
  <si>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</si>
  <si>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</si>
  <si>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</si>
  <si>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</si>
  <si>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</si>
  <si>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</si>
  <si>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</si>
  <si>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</si>
  <si>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</si>
  <si>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</si>
  <si>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</si>
  <si>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</si>
  <si>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</si>
  <si>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</si>
  <si>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</si>
  <si>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</si>
  <si>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</si>
  <si>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</si>
  <si>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</si>
  <si>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</si>
  <si>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</si>
  <si>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</si>
  <si>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</si>
  <si>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</si>
  <si>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</si>
  <si>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</si>
  <si>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</si>
  <si>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</si>
  <si>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</si>
  <si>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</si>
  <si>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</si>
  <si>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</si>
  <si>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</si>
  <si>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</si>
  <si>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</si>
  <si>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</si>
  <si>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</si>
  <si>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</si>
  <si>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</si>
  <si>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</si>
  <si>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</si>
  <si>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</si>
  <si>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</si>
  <si>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</si>
  <si>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</si>
  <si>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</si>
  <si>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</si>
  <si>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</si>
  <si>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</si>
  <si>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</si>
  <si>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</si>
  <si>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</si>
  <si>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</si>
  <si>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</si>
  <si>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</si>
  <si>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</si>
  <si>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</si>
  <si>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</si>
  <si>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</si>
  <si>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</si>
  <si>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</si>
  <si>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</si>
  <si>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</si>
  <si>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</si>
  <si>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</si>
  <si>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</si>
  <si>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</si>
  <si>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</si>
  <si>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</si>
  <si>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</si>
  <si>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</si>
  <si>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</si>
  <si>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</si>
  <si>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</si>
  <si>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</si>
  <si>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</si>
  <si>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</si>
  <si>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</si>
  <si>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</si>
  <si>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</si>
  <si>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</si>
  <si>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</si>
  <si>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</si>
  <si>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</si>
  <si>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</si>
  <si>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</si>
  <si>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</si>
  <si>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</si>
  <si>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</si>
  <si>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</si>
  <si>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</si>
  <si>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</si>
  <si>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</si>
  <si>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</si>
  <si>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</si>
  <si>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</si>
  <si>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</si>
  <si>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</si>
  <si>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</si>
  <si>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</si>
  <si>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</si>
  <si>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</si>
  <si>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</si>
  <si>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</si>
  <si>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</si>
  <si>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</si>
  <si>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</si>
  <si>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</si>
  <si>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</si>
  <si>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</si>
  <si>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</si>
  <si>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</si>
  <si>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</si>
  <si>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</si>
  <si>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</si>
  <si>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</si>
  <si>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</si>
  <si>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</si>
  <si>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</si>
  <si>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</si>
  <si>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</si>
  <si>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</si>
  <si>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</si>
  <si>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</si>
  <si>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</si>
  <si>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</si>
  <si>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</si>
  <si>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</si>
  <si>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</si>
  <si>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</si>
  <si>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</si>
  <si>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</si>
  <si>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</si>
  <si>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</si>
  <si>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</si>
  <si>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</si>
  <si>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</si>
  <si>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</si>
  <si>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</si>
  <si>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</si>
  <si>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</si>
  <si>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</si>
  <si>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</si>
  <si>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</si>
  <si>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</si>
  <si>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</si>
  <si>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</si>
  <si>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</si>
  <si>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</si>
  <si>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</si>
  <si>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</si>
  <si>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</si>
  <si>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</si>
  <si>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</si>
  <si>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</si>
  <si>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</si>
  <si>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</si>
  <si>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</si>
  <si>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</si>
  <si>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</si>
  <si>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</si>
  <si>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</si>
  <si>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</si>
  <si>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</si>
  <si>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</si>
  <si>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</si>
  <si>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</si>
  <si>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</si>
  <si>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</si>
  <si>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</si>
  <si>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</si>
  <si>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</si>
  <si>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</si>
  <si>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</si>
  <si>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</si>
  <si>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</si>
  <si>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</si>
  <si>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</si>
  <si>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</si>
  <si>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</si>
  <si>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</si>
  <si>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</si>
  <si>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</si>
  <si>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</si>
  <si>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</si>
  <si>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</si>
  <si>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</si>
  <si>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</si>
  <si>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</si>
  <si>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</si>
  <si>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</si>
  <si>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</si>
  <si>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</si>
  <si>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</si>
  <si>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</si>
  <si>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</si>
  <si>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</si>
  <si>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</si>
  <si>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</si>
  <si>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</si>
  <si>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</si>
  <si>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</si>
  <si>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</si>
  <si>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</si>
  <si>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</si>
  <si>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</si>
  <si>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</si>
  <si>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</si>
  <si>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</si>
  <si>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</si>
  <si>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</si>
  <si>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</si>
  <si>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</si>
  <si>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</si>
  <si>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</si>
  <si>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</si>
  <si>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</si>
  <si>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</si>
  <si>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</si>
  <si>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</si>
  <si>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</si>
  <si>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</si>
  <si>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</si>
  <si>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</si>
  <si>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</si>
  <si>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</si>
  <si>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</si>
  <si>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</si>
  <si>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</si>
  <si>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</si>
  <si>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</si>
  <si>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</si>
  <si>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</si>
  <si>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</si>
  <si>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</si>
  <si>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</si>
  <si>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</si>
  <si>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</si>
  <si>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</si>
  <si>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</si>
  <si>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</si>
  <si>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</si>
  <si>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</si>
  <si>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</si>
  <si>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</si>
  <si>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</si>
  <si>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</si>
  <si>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</si>
  <si>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</si>
  <si>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</si>
  <si>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</si>
  <si>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</si>
  <si>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</si>
  <si>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</si>
  <si>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</si>
  <si>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</si>
  <si>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</si>
  <si>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</si>
  <si>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</si>
  <si>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</si>
  <si>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</si>
  <si>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</si>
  <si>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</si>
  <si>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</si>
  <si>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</si>
  <si>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</si>
  <si>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</si>
  <si>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</si>
  <si>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</si>
  <si>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</si>
  <si>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</si>
  <si>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</si>
  <si>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</si>
  <si>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</si>
  <si>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</si>
  <si>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</si>
  <si>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</si>
  <si>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</si>
  <si>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</si>
  <si>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</si>
  <si>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</si>
  <si>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</si>
  <si>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</si>
  <si>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</si>
  <si>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</si>
  <si>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</si>
  <si>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</si>
  <si>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</si>
  <si>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</si>
  <si>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</si>
  <si>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</si>
  <si>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</si>
  <si>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</si>
  <si>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</si>
  <si>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</si>
  <si>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</si>
  <si>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</si>
  <si>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</si>
  <si>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</si>
  <si>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</si>
  <si>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</si>
  <si>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</si>
  <si>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</si>
  <si>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</si>
  <si>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</si>
  <si>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</si>
  <si>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</si>
  <si>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</si>
  <si>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</si>
  <si>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</si>
  <si>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</si>
  <si>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</si>
  <si>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</si>
  <si>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</si>
  <si>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</si>
  <si>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</si>
  <si>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</si>
  <si>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</si>
  <si>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</si>
  <si>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</si>
  <si>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</si>
  <si>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</si>
  <si>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</si>
  <si>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</si>
  <si>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</si>
  <si>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</si>
  <si>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</si>
  <si>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</si>
  <si>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</si>
  <si>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</si>
  <si>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</si>
  <si>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</si>
  <si>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</si>
  <si>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</si>
  <si>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</si>
  <si>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</si>
  <si>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</si>
  <si>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</si>
  <si>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</si>
  <si>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</si>
  <si>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</si>
  <si>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</si>
  <si>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</si>
  <si>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</si>
  <si>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</si>
  <si>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</si>
  <si>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</si>
  <si>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</si>
  <si>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</si>
  <si>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</si>
  <si>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</si>
  <si>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</si>
  <si>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</si>
  <si>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</si>
  <si>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</si>
  <si>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</si>
  <si>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</si>
  <si>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</si>
  <si>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</si>
  <si>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</si>
  <si>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</si>
  <si>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</si>
  <si>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</si>
  <si>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</si>
  <si>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</si>
  <si>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</si>
  <si>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</si>
  <si>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</si>
  <si>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</si>
  <si>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</si>
  <si>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</si>
  <si>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</si>
  <si>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</si>
  <si>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</si>
  <si>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</si>
  <si>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</si>
  <si>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</si>
  <si>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</si>
  <si>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</si>
  <si>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</si>
  <si>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</si>
  <si>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</si>
  <si>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</si>
  <si>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</si>
  <si>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</si>
  <si>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</si>
  <si>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</si>
  <si>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</si>
  <si>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</si>
  <si>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</si>
  <si>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</si>
  <si>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</si>
  <si>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</si>
  <si>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</si>
  <si>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</si>
  <si>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</si>
  <si>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</si>
  <si>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</si>
  <si>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</si>
  <si>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</si>
  <si>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</si>
  <si>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</si>
  <si>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</si>
  <si>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</si>
  <si>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</si>
  <si>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</si>
  <si>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</si>
  <si>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</si>
  <si>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</si>
  <si>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</si>
  <si>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</si>
  <si>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</si>
  <si>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</si>
  <si>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</si>
  <si>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</si>
  <si>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</si>
  <si>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</si>
  <si>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</si>
  <si>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</si>
  <si>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</si>
  <si>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</si>
  <si>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</si>
  <si>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</si>
  <si>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</si>
  <si>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</si>
  <si>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</si>
  <si>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</si>
  <si>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</si>
  <si>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</si>
  <si>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</si>
  <si>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</si>
  <si>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</si>
  <si>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</si>
  <si>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</si>
  <si>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</si>
  <si>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</si>
  <si>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</si>
  <si>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</si>
  <si>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</si>
  <si>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</si>
  <si>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</si>
  <si>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</si>
  <si>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</si>
  <si>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</si>
  <si>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</si>
  <si>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</si>
  <si>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</si>
  <si>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</si>
  <si>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</si>
  <si>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</si>
  <si>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</si>
  <si>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</si>
  <si>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</si>
  <si>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</si>
  <si>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</si>
  <si>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</si>
  <si>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</si>
  <si>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</si>
  <si>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</si>
  <si>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</si>
  <si>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</si>
  <si>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</si>
  <si>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</si>
  <si>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</si>
  <si>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</si>
  <si>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</si>
  <si>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</si>
  <si>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</si>
  <si>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</si>
  <si>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</si>
  <si>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</si>
  <si>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</si>
  <si>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</si>
  <si>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</si>
  <si>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</si>
  <si>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</si>
  <si>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</si>
  <si>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</si>
  <si>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</si>
  <si>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</si>
  <si>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</si>
  <si>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</si>
  <si>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</si>
  <si>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</si>
  <si>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</si>
  <si>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</si>
  <si>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</si>
  <si>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</si>
  <si>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</si>
  <si>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</si>
  <si>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</si>
  <si>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</si>
  <si>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</si>
  <si>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</si>
  <si>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</si>
  <si>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</si>
  <si>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</si>
  <si>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</si>
  <si>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</si>
  <si>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</si>
  <si>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</si>
  <si>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</si>
  <si>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</si>
  <si>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</si>
  <si>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</si>
  <si>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</si>
  <si>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</si>
  <si>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</si>
  <si>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</si>
  <si>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</si>
  <si>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</si>
  <si>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</si>
  <si>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</si>
  <si>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</si>
  <si>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</si>
  <si>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</si>
  <si>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</si>
  <si>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</si>
  <si>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</si>
  <si>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</si>
  <si>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</si>
  <si>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</si>
  <si>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</si>
  <si>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</si>
  <si>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</si>
  <si>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</si>
  <si>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</si>
  <si>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</si>
  <si>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</si>
  <si>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</si>
  <si>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</si>
  <si>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</si>
  <si>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</si>
  <si>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</si>
  <si>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</si>
  <si>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</si>
  <si>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</si>
  <si>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</si>
  <si>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</si>
  <si>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</si>
  <si>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</si>
  <si>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</si>
  <si>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</si>
  <si>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</si>
  <si>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</si>
  <si>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</si>
  <si>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</si>
  <si>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</si>
  <si>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</si>
  <si>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</si>
  <si>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</si>
  <si>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</si>
  <si>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</si>
  <si>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</si>
  <si>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</si>
  <si>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</si>
  <si>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</si>
  <si>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</si>
  <si>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29 nov. 2024</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</si>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</sst>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3</v>
      </c>
      <c r="E5" s="372"/>
      <c r="F5" s="3"/>
      <c r="H5" t="s">
        <v>424</v>
      </c>
      <c r="Q5" s="346">
        <v>3</v>
      </c>
      <c r="R5" s="346">
        <v>2</v>
      </c>
      <c r="S5" t="b">
        <f>AND(Q5&gt;=TrimIni,Q5&lt;=TrimFin)</f>
        <v>1</v>
      </c>
    </row>
    <row r="6" spans="1:19" ht="15">
      <c r="A6" s="373"/>
      <c r="B6" s="372"/>
      <c r="C6" s="370" t="s">
        <v>216</v>
      </c>
      <c r="D6" s="371">
        <v>3</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5.5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Ockn4ybGTEDy2iUeQPT39fYkKh2TBxclG5FuZ+i71oX9GMIvZtwzWxX77k8k43VTjOf38ZU9nTxQqycbpG0uw==" saltValue="WMp2P6Wk7650lqvj+w9m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3 al 3</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6</v>
      </c>
      <c r="F10" s="226">
        <f>IF(ISNUMBER(Datos!K10),Datos!K10," - ")</f>
        <v>8</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19.25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131.37969924812029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6</v>
      </c>
      <c r="F13" s="1051">
        <f>SUBTOTAL(9,F9:F12)</f>
        <v>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1094</v>
      </c>
      <c r="D16" s="225">
        <f>IF(ISNUMBER(IF(D_I="SI",Datos!I16,Datos!I16+Datos!AC16)),IF(D_I="SI",Datos!I16,Datos!I16+Datos!AC16)," - ")</f>
        <v>1092</v>
      </c>
      <c r="E16" s="226">
        <f>IF(ISNUMBER(IF(D_I="SI",Datos!J16,Datos!J16+Datos!AD16)),IF(D_I="SI",Datos!J16,Datos!J16+Datos!AD16)," - ")</f>
        <v>760</v>
      </c>
      <c r="F16" s="226">
        <f>IF(ISNUMBER(IF(D_I="SI",Datos!K16,Datos!K16+Datos!AE16)),IF(D_I="SI",Datos!K16,Datos!K16+Datos!AE16)," - ")</f>
        <v>490</v>
      </c>
      <c r="G16" s="1034" t="str">
        <f>IF(Datos!E16&lt;&gt;"",Datos!E16,Datos!D16)</f>
        <v>04</v>
      </c>
      <c r="H16" s="227">
        <f>IF(ISNUMBER(IF(D_I="SI",Datos!L16,Datos!L16+Datos!AF16)),IF(D_I="SI",Datos!L16,Datos!L16+Datos!AF16)," - ")</f>
        <v>1364</v>
      </c>
      <c r="I16" s="1044" t="str">
        <f>IF(ISNUMBER(Datos!AS16/Datos!BM16),Datos!AS16/Datos!BM16," - ")</f>
        <v xml:space="preserve"> - </v>
      </c>
      <c r="J16" s="1045">
        <f>IF(ISNUMBER(Datos!BY16/Datos!CN16),Datos!BY16/Datos!CN16," - ")</f>
        <v>0</v>
      </c>
      <c r="K16" s="230">
        <f t="shared" si="3"/>
        <v>0.24680073126142596</v>
      </c>
      <c r="L16" s="1025">
        <f>IF(ISNUMBER(NºAsuntos!I16/NºAsuntos!G16),(NºAsuntos!I16/NºAsuntos!G16)*11," - ")</f>
        <v>30.620408163265306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117</v>
      </c>
      <c r="D17" s="225">
        <f>IF(ISNUMBER(IF(D_I="SI",Datos!I17,Datos!I17+Datos!AC17)),IF(D_I="SI",Datos!I17,Datos!I17+Datos!AC17)," - ")</f>
        <v>116</v>
      </c>
      <c r="E17" s="226">
        <f>IF(ISNUMBER(IF(D_I="SI",Datos!J17,Datos!J17+Datos!AD17)),IF(D_I="SI",Datos!J17,Datos!J17+Datos!AD17)," - ")</f>
        <v>91</v>
      </c>
      <c r="F17" s="226">
        <f>IF(ISNUMBER(IF(D_I="SI",Datos!K17,Datos!K17+Datos!AE17)),IF(D_I="SI",Datos!K17,Datos!K17+Datos!AE17)," - ")</f>
        <v>40</v>
      </c>
      <c r="G17" s="1034" t="str">
        <f>IF(Datos!E17&lt;&gt;"",Datos!E17,Datos!D17)</f>
        <v>37</v>
      </c>
      <c r="H17" s="227">
        <f>IF(ISNUMBER(IF(D_I="SI",Datos!L17,Datos!L17+Datos!AF17)),IF(D_I="SI",Datos!L17,Datos!L17+Datos!AF17)," - ")</f>
        <v>168</v>
      </c>
      <c r="I17" s="1044" t="str">
        <f>IF(ISNUMBER(Datos!AS17/Datos!BM17),Datos!AS17/Datos!BM17," - ")</f>
        <v xml:space="preserve"> - </v>
      </c>
      <c r="J17" s="1045" t="str">
        <f>IF(ISNUMBER((Datos!BY17+Datos!BZ17)/Datos!CN17),(Datos!BY17+Datos!BZ17)/Datos!CN17," - ")</f>
        <v xml:space="preserve"> - </v>
      </c>
      <c r="K17" s="230">
        <f t="shared" si="3"/>
        <v>0.4358974358974359</v>
      </c>
      <c r="L17" s="1025">
        <f>IF(ISNUMBER(NºAsuntos!I17/NºAsuntos!G17),(NºAsuntos!I17/NºAsuntos!G17)*11," - ")</f>
        <v>46.2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1211</v>
      </c>
      <c r="D18" s="1049">
        <f>SUBTOTAL(9,D15:D17)</f>
        <v>1208</v>
      </c>
      <c r="E18" s="1050">
        <f>SUBTOTAL(9,E15:E17)</f>
        <v>851</v>
      </c>
      <c r="F18" s="1050">
        <f>SUBTOTAL(9,F15:F17)</f>
        <v>530</v>
      </c>
      <c r="G18" s="1052" t="str">
        <f ca="1">INDIRECT(CONCATENATE("G",ROW()-1))</f>
        <v>37</v>
      </c>
      <c r="H18" s="1053">
        <f ca="1">SUMIF(G$14:G17,G18,H$14:H17)</f>
        <v>168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1227</v>
      </c>
      <c r="D19" s="1071">
        <f>SUBTOTAL(9,D9:D18)</f>
        <v>1224</v>
      </c>
      <c r="E19" s="1072">
        <f>SUBTOTAL(9,E9:E18)</f>
        <v>857</v>
      </c>
      <c r="F19" s="1072">
        <f>SUBTOTAL(9,F9:F18)</f>
        <v>538</v>
      </c>
      <c r="G19" s="1073"/>
      <c r="H19" s="1074">
        <f ca="1">SUMIF(B9:B18,"TOTAL",H9:H18)</f>
        <v>168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29 nov.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M9W/lzWioeAOlBuBNTw3E5NeFiZ5JKX3oAPnpJupI7Trs0b7S/a49ahdXyXqrX/tRStwccifBssYKBLAkBcpLw==" saltValue="G6lZwhkAFMWExJfdSlntb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cMkpda8+t0uV7C9ovuzE8g2d3RWkaB9BI5Gwlr9mKyOpFKxeqOaIaZLYCeEmgYXhhirC3i/xFqI9Nckkkcl3A==" saltValue="l8ci2mh4/NjsKTkpoprq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6</v>
      </c>
      <c r="K10" s="181">
        <v>8</v>
      </c>
      <c r="L10" s="181">
        <v>14</v>
      </c>
      <c r="M10" s="181">
        <v>0</v>
      </c>
      <c r="N10" s="181">
        <v>0</v>
      </c>
      <c r="O10" s="181">
        <v>0</v>
      </c>
      <c r="P10" s="181">
        <v>0</v>
      </c>
      <c r="Q10" s="181">
        <v>2</v>
      </c>
      <c r="R10" s="181">
        <v>10</v>
      </c>
      <c r="S10" s="181">
        <v>9</v>
      </c>
      <c r="T10" s="181">
        <v>3</v>
      </c>
      <c r="U10" s="181">
        <v>0</v>
      </c>
      <c r="V10" s="181">
        <v>12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9</v>
      </c>
      <c r="AZ10" s="129">
        <f t="shared" si="0"/>
        <v>3</v>
      </c>
      <c r="BA10" s="129">
        <f t="shared" si="0"/>
        <v>0</v>
      </c>
      <c r="BB10" s="129">
        <f t="shared" si="0"/>
        <v>12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2639</v>
      </c>
      <c r="J12" s="183">
        <v>576</v>
      </c>
      <c r="K12" s="183">
        <v>234</v>
      </c>
      <c r="L12" s="183">
        <v>2981</v>
      </c>
      <c r="M12" s="183">
        <v>57</v>
      </c>
      <c r="N12" s="183">
        <v>115</v>
      </c>
      <c r="O12" s="181">
        <v>79</v>
      </c>
      <c r="P12" s="183">
        <v>106</v>
      </c>
      <c r="Q12" s="183">
        <v>19</v>
      </c>
      <c r="R12" s="183">
        <v>3265</v>
      </c>
      <c r="S12" s="183">
        <v>1987</v>
      </c>
      <c r="T12" s="183">
        <v>507</v>
      </c>
      <c r="U12" s="183">
        <v>422</v>
      </c>
      <c r="V12" s="183">
        <v>2066</v>
      </c>
      <c r="W12" s="183">
        <v>64</v>
      </c>
      <c r="X12" s="189">
        <v>168</v>
      </c>
      <c r="Y12" s="191">
        <v>202</v>
      </c>
      <c r="Z12" s="181">
        <v>26</v>
      </c>
      <c r="AA12" s="181">
        <v>32</v>
      </c>
      <c r="AB12" s="181">
        <v>196</v>
      </c>
      <c r="AC12" s="183">
        <v>0</v>
      </c>
      <c r="AD12" s="183">
        <v>0</v>
      </c>
      <c r="AE12" s="183">
        <v>0</v>
      </c>
      <c r="AF12" s="189">
        <v>0</v>
      </c>
      <c r="AG12" s="202">
        <v>197</v>
      </c>
      <c r="AH12" s="183">
        <v>71</v>
      </c>
      <c r="AI12" s="183">
        <v>91</v>
      </c>
      <c r="AJ12" s="203">
        <v>177</v>
      </c>
      <c r="AK12" s="182">
        <v>0</v>
      </c>
      <c r="AL12" s="183">
        <v>0</v>
      </c>
      <c r="AM12" s="183">
        <v>0</v>
      </c>
      <c r="AN12" s="189">
        <v>0</v>
      </c>
      <c r="AO12" s="259">
        <v>3</v>
      </c>
      <c r="AP12" s="155">
        <v>3</v>
      </c>
      <c r="AQ12" s="155">
        <v>3</v>
      </c>
      <c r="AR12" s="154">
        <v>3</v>
      </c>
      <c r="AS12" s="340" t="s">
        <v>802</v>
      </c>
      <c r="AT12" s="203"/>
      <c r="AU12" s="202"/>
      <c r="AV12" s="203"/>
      <c r="AW12" s="202"/>
      <c r="AX12" s="203"/>
      <c r="AY12" s="126">
        <f t="shared" si="1"/>
        <v>2184</v>
      </c>
      <c r="AZ12" s="127">
        <f t="shared" si="1"/>
        <v>578</v>
      </c>
      <c r="BA12" s="127">
        <f t="shared" si="1"/>
        <v>513</v>
      </c>
      <c r="BB12" s="127">
        <f t="shared" si="1"/>
        <v>2243</v>
      </c>
      <c r="BC12" s="125">
        <f>IF(ISNUMBER(X12),X12," - ")</f>
        <v>168</v>
      </c>
      <c r="BD12" s="126">
        <f t="shared" si="2"/>
        <v>0.88754325259515576</v>
      </c>
      <c r="BE12" s="127">
        <f t="shared" si="3"/>
        <v>4.3723196881091617</v>
      </c>
      <c r="BF12" s="127">
        <f t="shared" si="4"/>
        <v>0.32748538011695905</v>
      </c>
      <c r="BG12" s="196">
        <f t="shared" si="5"/>
        <v>5.3840155945419106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2655</v>
      </c>
      <c r="J13" s="184">
        <f t="shared" si="6"/>
        <v>582</v>
      </c>
      <c r="K13" s="184">
        <f t="shared" si="6"/>
        <v>242</v>
      </c>
      <c r="L13" s="184">
        <f t="shared" si="6"/>
        <v>2995</v>
      </c>
      <c r="M13" s="184">
        <f t="shared" si="6"/>
        <v>57</v>
      </c>
      <c r="N13" s="184">
        <f t="shared" si="6"/>
        <v>115</v>
      </c>
      <c r="O13" s="184">
        <f t="shared" si="6"/>
        <v>79</v>
      </c>
      <c r="P13" s="184">
        <f t="shared" si="6"/>
        <v>106</v>
      </c>
      <c r="Q13" s="184">
        <f t="shared" si="6"/>
        <v>21</v>
      </c>
      <c r="R13" s="184">
        <f t="shared" si="6"/>
        <v>3275</v>
      </c>
      <c r="S13" s="184">
        <f t="shared" si="6"/>
        <v>1996</v>
      </c>
      <c r="T13" s="184">
        <f t="shared" si="6"/>
        <v>510</v>
      </c>
      <c r="U13" s="184">
        <f t="shared" si="6"/>
        <v>422</v>
      </c>
      <c r="V13" s="184">
        <f t="shared" si="6"/>
        <v>2078</v>
      </c>
      <c r="W13" s="184">
        <f t="shared" si="6"/>
        <v>64</v>
      </c>
      <c r="X13" s="184">
        <f t="shared" si="6"/>
        <v>168</v>
      </c>
      <c r="Y13" s="184">
        <f t="shared" si="6"/>
        <v>202</v>
      </c>
      <c r="Z13" s="184">
        <f t="shared" si="6"/>
        <v>26</v>
      </c>
      <c r="AA13" s="184">
        <f t="shared" si="6"/>
        <v>32</v>
      </c>
      <c r="AB13" s="184">
        <f t="shared" si="6"/>
        <v>196</v>
      </c>
      <c r="AC13" s="184">
        <f t="shared" si="6"/>
        <v>0</v>
      </c>
      <c r="AD13" s="184">
        <f t="shared" si="6"/>
        <v>0</v>
      </c>
      <c r="AE13" s="184">
        <f t="shared" si="6"/>
        <v>0</v>
      </c>
      <c r="AF13" s="184">
        <f>SUBTOTAL(9,AF9:AF12)</f>
        <v>0</v>
      </c>
      <c r="AG13" s="184">
        <f t="shared" ref="AG13:AT13" si="7">SUBTOTAL(9,AG8:AG12)</f>
        <v>197</v>
      </c>
      <c r="AH13" s="184">
        <f t="shared" si="7"/>
        <v>71</v>
      </c>
      <c r="AI13" s="184">
        <f t="shared" si="7"/>
        <v>91</v>
      </c>
      <c r="AJ13" s="184">
        <f t="shared" si="7"/>
        <v>177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2193</v>
      </c>
      <c r="AZ13" s="184">
        <f>SUBTOTAL(9,AZ8:AZ12)</f>
        <v>581</v>
      </c>
      <c r="BA13" s="184">
        <f>SUBTOTAL(9,BA8:BA12)</f>
        <v>513</v>
      </c>
      <c r="BB13" s="184">
        <f>SUBTOTAL(9,BB8:BB12)</f>
        <v>2255</v>
      </c>
      <c r="BC13" s="184">
        <f>SUBTOTAL(9,BC8:BC12)</f>
        <v>168</v>
      </c>
      <c r="BD13" s="205">
        <f>IF(ISNUMBER(BA13/AZ13),BA13/AZ13," - ")</f>
        <v>0.88296041308089501</v>
      </c>
      <c r="BE13" s="206">
        <f>IF(ISNUMBER(BB13/BA13),BB13/BA13, " - ")</f>
        <v>4.3957115009746586</v>
      </c>
      <c r="BF13" s="206">
        <f>IF(ISNUMBER(BC13/BA13),BC13/BA13, " - ")</f>
        <v>0.32748538011695905</v>
      </c>
      <c r="BG13" s="207">
        <f>IF(ISNUMBER((AY13+AZ13)/BA13),(AY13+AZ13)/BA13," - ")</f>
        <v>5.4074074074074074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1092</v>
      </c>
      <c r="J16" s="183">
        <v>760</v>
      </c>
      <c r="K16" s="183">
        <v>490</v>
      </c>
      <c r="L16" s="183">
        <v>1364</v>
      </c>
      <c r="M16" s="183">
        <v>55</v>
      </c>
      <c r="N16" s="183">
        <v>319</v>
      </c>
      <c r="O16" s="181">
        <v>5</v>
      </c>
      <c r="P16" s="183">
        <v>26</v>
      </c>
      <c r="Q16" s="183">
        <v>12</v>
      </c>
      <c r="R16" s="183">
        <v>75</v>
      </c>
      <c r="S16" s="183">
        <v>904</v>
      </c>
      <c r="T16" s="183">
        <v>636</v>
      </c>
      <c r="U16" s="183">
        <v>802</v>
      </c>
      <c r="V16" s="183">
        <v>741</v>
      </c>
      <c r="W16" s="183">
        <v>77</v>
      </c>
      <c r="X16" s="189">
        <v>645</v>
      </c>
      <c r="Y16" s="202">
        <v>0</v>
      </c>
      <c r="Z16" s="183">
        <v>0</v>
      </c>
      <c r="AA16" s="183">
        <v>0</v>
      </c>
      <c r="AB16" s="183">
        <v>0</v>
      </c>
      <c r="AC16" s="183">
        <v>9</v>
      </c>
      <c r="AD16" s="183">
        <v>0</v>
      </c>
      <c r="AE16" s="183">
        <v>0</v>
      </c>
      <c r="AF16" s="189">
        <v>9</v>
      </c>
      <c r="AG16" s="202">
        <v>0</v>
      </c>
      <c r="AH16" s="183">
        <v>0</v>
      </c>
      <c r="AI16" s="183">
        <v>0</v>
      </c>
      <c r="AJ16" s="203">
        <v>0</v>
      </c>
      <c r="AK16" s="182">
        <v>9</v>
      </c>
      <c r="AL16" s="183">
        <v>0</v>
      </c>
      <c r="AM16" s="183">
        <v>4</v>
      </c>
      <c r="AN16" s="189">
        <v>5</v>
      </c>
      <c r="AO16" s="259">
        <v>3</v>
      </c>
      <c r="AP16" s="155">
        <v>3</v>
      </c>
      <c r="AQ16" s="155">
        <v>3</v>
      </c>
      <c r="AR16" s="155">
        <v>3</v>
      </c>
      <c r="AS16" s="340" t="s">
        <v>487</v>
      </c>
      <c r="AT16" s="203"/>
      <c r="AU16" s="202"/>
      <c r="AV16" s="203"/>
      <c r="AW16" s="202"/>
      <c r="AX16" s="203"/>
      <c r="AY16" s="126">
        <f t="shared" si="9"/>
        <v>904</v>
      </c>
      <c r="AZ16" s="127">
        <f t="shared" si="9"/>
        <v>636</v>
      </c>
      <c r="BA16" s="127">
        <f t="shared" si="9"/>
        <v>802</v>
      </c>
      <c r="BB16" s="127">
        <f t="shared" si="9"/>
        <v>741</v>
      </c>
      <c r="BC16" s="125">
        <f>IF(ISNUMBER(W16),W16," - ")</f>
        <v>77</v>
      </c>
      <c r="BD16" s="126">
        <f t="shared" ref="BD16" si="11">IF(ISNUMBER(BA16/AZ16),BA16/AZ16," - ")</f>
        <v>1.2610062893081762</v>
      </c>
      <c r="BE16" s="127">
        <f t="shared" ref="BE16" si="12">IF(ISNUMBER(BB16/BA16),BB16/BA16, " - ")</f>
        <v>0.92394014962593518</v>
      </c>
      <c r="BF16" s="127">
        <f t="shared" ref="BF16" si="13">IF(ISNUMBER(BC16/BA16),BC16/BA16, " - ")</f>
        <v>9.6009975062344141E-2</v>
      </c>
      <c r="BG16" s="196">
        <f t="shared" si="10"/>
        <v>1.9201995012468829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116</v>
      </c>
      <c r="J17" s="183">
        <v>91</v>
      </c>
      <c r="K17" s="183">
        <v>40</v>
      </c>
      <c r="L17" s="183">
        <v>168</v>
      </c>
      <c r="M17" s="183">
        <v>15</v>
      </c>
      <c r="N17" s="183">
        <v>21</v>
      </c>
      <c r="O17" s="183">
        <v>0</v>
      </c>
      <c r="P17" s="183">
        <v>0</v>
      </c>
      <c r="Q17" s="183">
        <v>1</v>
      </c>
      <c r="R17" s="183">
        <v>8</v>
      </c>
      <c r="S17" s="183">
        <v>60</v>
      </c>
      <c r="T17" s="183">
        <v>68</v>
      </c>
      <c r="U17" s="183">
        <v>72</v>
      </c>
      <c r="V17" s="183">
        <v>57</v>
      </c>
      <c r="W17" s="183">
        <v>12</v>
      </c>
      <c r="X17" s="189">
        <v>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60</v>
      </c>
      <c r="AZ17" s="129">
        <f t="shared" si="14"/>
        <v>68</v>
      </c>
      <c r="BA17" s="129">
        <f t="shared" si="14"/>
        <v>72</v>
      </c>
      <c r="BB17" s="129">
        <f t="shared" si="14"/>
        <v>57</v>
      </c>
      <c r="BC17" s="125">
        <f>IF(ISNUMBER(W17),W17," - ")</f>
        <v>12</v>
      </c>
      <c r="BD17" s="126">
        <f>IF(ISNUMBER(BA17/AZ17),BA17/AZ17," - ")</f>
        <v>1.0588235294117647</v>
      </c>
      <c r="BE17" s="127">
        <f>IF(ISNUMBER(BB17/BA17),BB17/BA17, " - ")</f>
        <v>0.79166666666666663</v>
      </c>
      <c r="BF17" s="127">
        <f>IF(ISNUMBER(BC17/BA17),BC17/BA17, " - ")</f>
        <v>0.16666666666666666</v>
      </c>
      <c r="BG17" s="196">
        <f>IF(ISNUMBER((AY17+AZ17)/BA17),(AY17+AZ17)/BA17," - ")</f>
        <v>1.7777777777777777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1208</v>
      </c>
      <c r="J18" s="184">
        <f t="shared" si="15"/>
        <v>851</v>
      </c>
      <c r="K18" s="184">
        <f t="shared" si="15"/>
        <v>530</v>
      </c>
      <c r="L18" s="184">
        <f t="shared" si="15"/>
        <v>1532</v>
      </c>
      <c r="M18" s="184">
        <f t="shared" si="15"/>
        <v>70</v>
      </c>
      <c r="N18" s="184">
        <f t="shared" si="15"/>
        <v>340</v>
      </c>
      <c r="O18" s="184">
        <f t="shared" si="15"/>
        <v>5</v>
      </c>
      <c r="P18" s="184">
        <f t="shared" si="15"/>
        <v>26</v>
      </c>
      <c r="Q18" s="184">
        <f t="shared" si="15"/>
        <v>13</v>
      </c>
      <c r="R18" s="184">
        <f t="shared" si="15"/>
        <v>83</v>
      </c>
      <c r="S18" s="184">
        <f t="shared" si="15"/>
        <v>964</v>
      </c>
      <c r="T18" s="184">
        <f t="shared" si="15"/>
        <v>704</v>
      </c>
      <c r="U18" s="184">
        <f t="shared" si="15"/>
        <v>874</v>
      </c>
      <c r="V18" s="184">
        <f t="shared" si="15"/>
        <v>798</v>
      </c>
      <c r="W18" s="184">
        <f t="shared" si="15"/>
        <v>89</v>
      </c>
      <c r="X18" s="184">
        <f t="shared" si="15"/>
        <v>678</v>
      </c>
      <c r="Y18" s="184">
        <f t="shared" si="15"/>
        <v>0</v>
      </c>
      <c r="Z18" s="184">
        <f t="shared" si="15"/>
        <v>0</v>
      </c>
      <c r="AA18" s="184">
        <f t="shared" si="15"/>
        <v>0</v>
      </c>
      <c r="AB18" s="184">
        <f t="shared" si="15"/>
        <v>0</v>
      </c>
      <c r="AC18" s="184">
        <f t="shared" si="15"/>
        <v>9</v>
      </c>
      <c r="AD18" s="184">
        <f t="shared" si="15"/>
        <v>0</v>
      </c>
      <c r="AE18" s="184">
        <f t="shared" si="15"/>
        <v>0</v>
      </c>
      <c r="AF18" s="184">
        <f t="shared" si="15"/>
        <v>9</v>
      </c>
      <c r="AG18" s="184">
        <f t="shared" si="15"/>
        <v>0</v>
      </c>
      <c r="AH18" s="184">
        <f t="shared" si="15"/>
        <v>0</v>
      </c>
      <c r="AI18" s="184">
        <f t="shared" si="15"/>
        <v>0</v>
      </c>
      <c r="AJ18" s="184">
        <f t="shared" si="15"/>
        <v>0</v>
      </c>
      <c r="AK18" s="184">
        <f t="shared" si="15"/>
        <v>9</v>
      </c>
      <c r="AL18" s="184">
        <f t="shared" si="15"/>
        <v>0</v>
      </c>
      <c r="AM18" s="184">
        <f t="shared" si="15"/>
        <v>4</v>
      </c>
      <c r="AN18" s="184">
        <f t="shared" si="15"/>
        <v>5</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964</v>
      </c>
      <c r="AZ18" s="184">
        <f>SUBTOTAL(9,AZ14:AZ17)</f>
        <v>704</v>
      </c>
      <c r="BA18" s="184">
        <f>SUBTOTAL(9,BA14:BA17)</f>
        <v>874</v>
      </c>
      <c r="BB18" s="184">
        <f>SUBTOTAL(9,BB14:BB17)</f>
        <v>798</v>
      </c>
      <c r="BC18" s="184">
        <f>SUBTOTAL(9,BC14:BC17)</f>
        <v>89</v>
      </c>
      <c r="BD18" s="205">
        <f>IF(ISNUMBER(BA18/AZ18),BA18/AZ18," - ")</f>
        <v>1.2414772727272727</v>
      </c>
      <c r="BE18" s="206">
        <f>IF(ISNUMBER(BB18/BA18),BB18/BA18, " - ")</f>
        <v>0.91304347826086951</v>
      </c>
      <c r="BF18" s="206">
        <f>IF(ISNUMBER(BC18/BA18),BC18/BA18, " - ")</f>
        <v>0.10183066361556065</v>
      </c>
      <c r="BG18" s="207">
        <f>IF(ISNUMBER((AY18+AZ18)/BA18),(AY18+AZ18)/BA18," - ")</f>
        <v>1.908466819221968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3863</v>
      </c>
      <c r="J19" s="134">
        <f t="shared" si="18"/>
        <v>1433</v>
      </c>
      <c r="K19" s="134">
        <f t="shared" si="18"/>
        <v>772</v>
      </c>
      <c r="L19" s="134">
        <f t="shared" si="18"/>
        <v>4527</v>
      </c>
      <c r="M19" s="134">
        <f t="shared" si="18"/>
        <v>127</v>
      </c>
      <c r="N19" s="134">
        <f t="shared" si="18"/>
        <v>455</v>
      </c>
      <c r="O19" s="134">
        <f t="shared" si="18"/>
        <v>84</v>
      </c>
      <c r="P19" s="134">
        <f t="shared" si="18"/>
        <v>132</v>
      </c>
      <c r="Q19" s="134">
        <f t="shared" si="18"/>
        <v>34</v>
      </c>
      <c r="R19" s="134">
        <f t="shared" si="18"/>
        <v>3358</v>
      </c>
      <c r="S19" s="134">
        <f t="shared" si="18"/>
        <v>2960</v>
      </c>
      <c r="T19" s="134">
        <f t="shared" si="18"/>
        <v>1214</v>
      </c>
      <c r="U19" s="134">
        <f t="shared" si="18"/>
        <v>1296</v>
      </c>
      <c r="V19" s="134">
        <f t="shared" si="18"/>
        <v>2876</v>
      </c>
      <c r="W19" s="134">
        <f t="shared" si="18"/>
        <v>153</v>
      </c>
      <c r="X19" s="134">
        <f t="shared" si="18"/>
        <v>846</v>
      </c>
      <c r="Y19" s="134">
        <f t="shared" si="18"/>
        <v>202</v>
      </c>
      <c r="Z19" s="134">
        <f t="shared" si="18"/>
        <v>26</v>
      </c>
      <c r="AA19" s="134">
        <f t="shared" si="18"/>
        <v>32</v>
      </c>
      <c r="AB19" s="134">
        <f t="shared" si="18"/>
        <v>196</v>
      </c>
      <c r="AC19" s="134">
        <f t="shared" si="18"/>
        <v>9</v>
      </c>
      <c r="AD19" s="134">
        <f t="shared" si="18"/>
        <v>0</v>
      </c>
      <c r="AE19" s="134">
        <f t="shared" si="18"/>
        <v>0</v>
      </c>
      <c r="AF19" s="134">
        <f t="shared" si="18"/>
        <v>9</v>
      </c>
      <c r="AG19" s="134">
        <f t="shared" si="18"/>
        <v>197</v>
      </c>
      <c r="AH19" s="134">
        <f t="shared" si="18"/>
        <v>71</v>
      </c>
      <c r="AI19" s="134">
        <f t="shared" si="18"/>
        <v>91</v>
      </c>
      <c r="AJ19" s="134">
        <f t="shared" si="18"/>
        <v>177</v>
      </c>
      <c r="AK19" s="134">
        <f t="shared" si="18"/>
        <v>9</v>
      </c>
      <c r="AL19" s="134">
        <f t="shared" si="18"/>
        <v>0</v>
      </c>
      <c r="AM19" s="134">
        <f t="shared" si="18"/>
        <v>4</v>
      </c>
      <c r="AN19" s="210">
        <f t="shared" si="18"/>
        <v>5</v>
      </c>
      <c r="AO19" s="211">
        <v>4</v>
      </c>
      <c r="AP19" s="211">
        <v>3</v>
      </c>
      <c r="AQ19" s="211">
        <v>3</v>
      </c>
      <c r="AR19" s="211">
        <v>3</v>
      </c>
      <c r="AS19" s="153">
        <f t="shared" si="18"/>
        <v>0</v>
      </c>
      <c r="AT19" s="153">
        <f t="shared" si="18"/>
        <v>0</v>
      </c>
      <c r="AU19" s="211"/>
      <c r="AV19" s="212"/>
      <c r="AW19" s="211"/>
      <c r="AX19" s="212"/>
      <c r="AY19" s="133">
        <f>SUBTOTAL(9,AY9:AY18)</f>
        <v>3157</v>
      </c>
      <c r="AZ19" s="134">
        <f>SUBTOTAL(9,AZ9:AZ18)</f>
        <v>1285</v>
      </c>
      <c r="BA19" s="134">
        <f>SUBTOTAL(9,BA9:BA18)</f>
        <v>1387</v>
      </c>
      <c r="BB19" s="134">
        <f>SUBTOTAL(9,BB9:BB18)</f>
        <v>3053</v>
      </c>
      <c r="BC19" s="135">
        <f>SUBTOTAL(9,BC9:BC18)</f>
        <v>257</v>
      </c>
      <c r="BD19" s="213">
        <f>IF(ISNUMBER(BA19/AZ19),BA19/AZ19," - ")</f>
        <v>1.0793774319066147</v>
      </c>
      <c r="BE19" s="210">
        <f>IF(ISNUMBER(BB19/BA19),BB19/BA19, " - ")</f>
        <v>2.2011535688536408</v>
      </c>
      <c r="BF19" s="210">
        <f>IF(ISNUMBER(BC19/BA19),BC19/BA19, " - ")</f>
        <v>0.18529199711607786</v>
      </c>
      <c r="BG19" s="135">
        <f>IF(ISNUMBER((AY19+AZ19)/BA19),(AY19+AZ19)/BA19," - ")</f>
        <v>3.2025955299206923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EMX6qDWXwQHsaz550fd6JedF1OBzi17ufkWdTsbbQWbEV8bUQ0KGlkHVFR8v3WSuRgcPMLmBldZuuECecWDqg==" saltValue="g41LEbNAjLeD5jfBSIJ2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pVeXUw+c0SwJ4gcY2FxAumbJu/a9WGbPECMSGL5KDDiRgWmjv0J82B8j8SadSq3iECekaUVCFAiEU0oc+b/Gw==" saltValue="u5xf/9BCBEc7TBxz5fMG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218.18181818181819</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v>
      </c>
      <c r="AC10" s="226">
        <f>IF(ISNUMBER(Datos!Q10),Datos!Q10," - ")</f>
        <v>2</v>
      </c>
      <c r="AD10" s="334"/>
      <c r="AE10" s="484"/>
      <c r="AF10" s="332">
        <f>IF(ISNUMBER(Datos!L10),Datos!L10,"-")</f>
        <v>14</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1.3333333333333333</v>
      </c>
      <c r="BH10" s="260">
        <f>IF(ISNUMBER(((Datos!L10/Datos!K10)*11)/factor_trimestre),((Datos!L10/Datos!K10)*11)/factor_trimestre," - ")</f>
        <v>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-0.16666666666666666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290.90909090909093</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240.54545454545453</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106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196</v>
      </c>
      <c r="AI12" s="334" t="str">
        <f>IF(ISNUMBER(Datos!CD12),Datos!CD12,"-")</f>
        <v>-</v>
      </c>
      <c r="AJ12" s="334" t="str">
        <f>IF(ISNUMBER(Datos!EN12),Datos!EN12," - ")</f>
        <v xml:space="preserve"> - </v>
      </c>
      <c r="AK12" s="334"/>
      <c r="AL12" s="479"/>
      <c r="AM12" s="335">
        <f>IF(ISNUMBER(Datos!R12),Datos!R12," - ")</f>
        <v>3265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57</v>
      </c>
      <c r="BD12" s="229">
        <f>IF(ISNUMBER(Datos!N12),Datos!N12," - ")</f>
        <v>115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0.44186046511627908</v>
      </c>
      <c r="BH12" s="260">
        <f>IF(ISNUMBER(((IF(J_V="SI",Datos!L12/Datos!K12,(Datos!L12+Datos!AB12)/(Datos!K12+Datos!AA12)))*11)/factor_trimestre),((IF(J_V="SI",Datos!L12/Datos!K12,(Datos!L12+Datos!AB12)/(Datos!K12+Datos!AA12)))*11)/factor_trimestre," - ")</f>
        <v>23.887218045112778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2.7375707992448081E-2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123.63636363636364</v>
      </c>
      <c r="BZ12" s="1186">
        <f>Datos!EZ12</f>
        <v>0</v>
      </c>
    </row>
    <row r="13" spans="1:78" ht="15.75" thickTop="1" thickBot="1">
      <c r="A13" s="178"/>
      <c r="B13" s="178"/>
      <c r="C13" s="863" t="str">
        <f>Datos!A13</f>
        <v>TOTAL</v>
      </c>
      <c r="D13" s="897"/>
      <c r="E13" s="1164">
        <f t="shared" ref="E13:Z13" si="0">SUBTOTAL(9,E8:E12)</f>
        <v>3</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106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v>
      </c>
      <c r="AC13" s="899">
        <f t="shared" si="1"/>
        <v>21</v>
      </c>
      <c r="AD13" s="899">
        <f t="shared" si="1"/>
        <v>0</v>
      </c>
      <c r="AE13" s="899">
        <f t="shared" si="1"/>
        <v>0</v>
      </c>
      <c r="AF13" s="899">
        <f t="shared" si="1"/>
        <v>14</v>
      </c>
      <c r="AG13" s="899">
        <f t="shared" si="1"/>
        <v>0</v>
      </c>
      <c r="AH13" s="899">
        <f t="shared" si="1"/>
        <v>196</v>
      </c>
      <c r="AI13" s="899">
        <f t="shared" si="1"/>
        <v>0</v>
      </c>
      <c r="AJ13" s="899">
        <f t="shared" si="1"/>
        <v>0</v>
      </c>
      <c r="AK13" s="899">
        <f t="shared" si="1"/>
        <v>0</v>
      </c>
      <c r="AL13" s="899">
        <f t="shared" si="1"/>
        <v>0</v>
      </c>
      <c r="AM13" s="899">
        <f t="shared" si="1"/>
        <v>3275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57</v>
      </c>
      <c r="BD13" s="899">
        <f t="shared" si="1"/>
        <v>115</v>
      </c>
      <c r="BE13" s="899">
        <f t="shared" si="1"/>
        <v>0</v>
      </c>
      <c r="BF13" s="899">
        <f t="shared" si="1"/>
        <v>0</v>
      </c>
      <c r="BG13" s="899">
        <f>IF(ISNUMBER(Datos!K13/Datos!J13),Datos!K13/Datos!J13," - ")</f>
        <v>0.41580756013745707</v>
      </c>
      <c r="BH13" s="903">
        <f>IF(ISNUMBER(((Datos!L13/Datos!K13)*11)/factor_trimestre),((Datos!L13/Datos!K13)*11)/factor_trimestre," - ")</f>
        <v>24.752066115702476</v>
      </c>
      <c r="BI13" s="899">
        <f>IF(ISNUMBER('Resol  Asuntos'!D13/NºAsuntos!G13),'Resol  Asuntos'!D13/NºAsuntos!G13," - ")</f>
        <v>0.20802919708029197</v>
      </c>
      <c r="BJ13" s="899" t="str">
        <f>IF(ISNUMBER(Datos!CI13/Datos!CJ13),Datos!CI13/Datos!CJ13," - ")</f>
        <v xml:space="preserve"> - </v>
      </c>
      <c r="BK13" s="899">
        <f>SUBTOTAL(9,BK8:BK12)</f>
        <v>0</v>
      </c>
      <c r="BL13" s="899">
        <f>IF(ISNUMBER((I13-AB13+L13)/(F13)),(I13-AB13+L13)/(F13)," - ")</f>
        <v>-0.5</v>
      </c>
      <c r="BM13" s="904">
        <f>SUBTOTAL(9,BM9:BM12)</f>
        <v>-0.13929095867421859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873.27272727272725</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600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1094</v>
      </c>
      <c r="G16" s="598">
        <f>IF(ISNUMBER(IF(D_I="SI",Datos!I16,Datos!I16+Datos!AC16)),IF(D_I="SI",Datos!I16,Datos!I16+Datos!AC16)," - ")</f>
        <v>1092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490</v>
      </c>
      <c r="AC16" s="226">
        <f>IF(ISNUMBER(Datos!Q16),Datos!Q16," - ")</f>
        <v>12</v>
      </c>
      <c r="AD16" s="334"/>
      <c r="AE16" s="484"/>
      <c r="AF16" s="596">
        <f>IF(ISNUMBER(IF(D_I="SI",Datos!L16,Datos!L16+Datos!AF16)),IF(D_I="SI",Datos!L16,Datos!L16+Datos!AF16)," - ")</f>
        <v>1364</v>
      </c>
      <c r="AG16" s="334"/>
      <c r="AH16" s="334"/>
      <c r="AI16" s="334"/>
      <c r="AJ16" s="334"/>
      <c r="AK16" s="334"/>
      <c r="AL16" s="479"/>
      <c r="AM16" s="335">
        <f>IF(ISNUMBER(Datos!R16),Datos!R16," - ")</f>
        <v>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55</v>
      </c>
      <c r="BD16" s="229">
        <f>IF(ISNUMBER(Datos!N16),Datos!N16," - ")</f>
        <v>319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0.64473684210526316</v>
      </c>
      <c r="BH16" s="260">
        <f>IF(ISNUMBER(((IF(D_I="SI",Datos!L16/Datos!K16,(Datos!L16+Datos!AF16)/(Datos!K16+Datos!AE16)))*11)/factor_trimestre),((IF(D_I="SI",Datos!L16/Datos!K16,(Datos!L16+Datos!AF16)/(Datos!K16+Datos!AE16)))*11)/factor_trimestre," - ")</f>
        <v>5.5673469387755103</v>
      </c>
      <c r="BI16" s="243">
        <f>IF(ISNUMBER('Resol  Asuntos'!D16/NºAsuntos!G16),'Resol  Asuntos'!D16/NºAsuntos!G16," - ")</f>
        <v>0.11224489795918367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181.81818181818181</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40</v>
      </c>
      <c r="AC17" s="226">
        <f>IF(ISNUMBER(Datos!Q17),Datos!Q17," - ")</f>
        <v>1</v>
      </c>
      <c r="AD17" s="334"/>
      <c r="AE17" s="484"/>
      <c r="AF17" s="332">
        <f>IF(ISNUMBER(Datos!L17),Datos!L17,"-")</f>
        <v>168</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0.43956043956043955</v>
      </c>
      <c r="BH17" s="260">
        <f>IF(ISNUMBER(((IF(D_I="SI",Datos!L17/Datos!K17,(Datos!L17+Datos!AF17)/(Datos!K17+Datos!AE17)))*11)/factor_trimestre),((IF(D_I="SI",Datos!L17/Datos!K17,(Datos!L17+Datos!AF17)/(Datos!K17+Datos!AE17)))*11)/factor_trimestre," - ")</f>
        <v>8.4</v>
      </c>
      <c r="BI17" s="243">
        <f>IF(ISNUMBER('Resol  Asuntos'!D17/NºAsuntos!G17),'Resol  Asuntos'!D17/NºAsuntos!G17," - ")</f>
        <v>0.375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290.90909090909093</v>
      </c>
      <c r="BZ17" s="1186">
        <f>Datos!EZ17</f>
        <v>0</v>
      </c>
    </row>
    <row r="18" spans="1:78" ht="15.75" thickTop="1" thickBot="1">
      <c r="A18" s="178"/>
      <c r="B18" s="178"/>
      <c r="C18" s="863" t="str">
        <f>Datos!A18</f>
        <v>TOTAL</v>
      </c>
      <c r="D18" s="897"/>
      <c r="E18" s="1164">
        <f>SUBTOTAL(9,E15:E17)</f>
        <v>3</v>
      </c>
      <c r="F18" s="898">
        <f>SUBTOTAL(9,F15:F17)</f>
        <v>1094</v>
      </c>
      <c r="G18" s="898">
        <f>SUBTOTAL(9,G15:G17)</f>
        <v>1208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530</v>
      </c>
      <c r="AC18" s="899">
        <f t="shared" si="4"/>
        <v>13</v>
      </c>
      <c r="AD18" s="899">
        <f t="shared" si="4"/>
        <v>0</v>
      </c>
      <c r="AE18" s="899">
        <f t="shared" si="4"/>
        <v>0</v>
      </c>
      <c r="AF18" s="899">
        <f t="shared" si="4"/>
        <v>1532</v>
      </c>
      <c r="AG18" s="899">
        <f t="shared" si="4"/>
        <v>0</v>
      </c>
      <c r="AH18" s="899">
        <f t="shared" si="4"/>
        <v>0</v>
      </c>
      <c r="AI18" s="899">
        <f t="shared" si="4"/>
        <v>0</v>
      </c>
      <c r="AJ18" s="899">
        <f t="shared" si="4"/>
        <v>0</v>
      </c>
      <c r="AK18" s="899">
        <f t="shared" si="4"/>
        <v>0</v>
      </c>
      <c r="AL18" s="899">
        <f t="shared" si="4"/>
        <v>0</v>
      </c>
      <c r="AM18" s="899">
        <f t="shared" si="4"/>
        <v>83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v>
      </c>
      <c r="BD18" s="899">
        <f t="shared" si="4"/>
        <v>340</v>
      </c>
      <c r="BE18" s="899">
        <f t="shared" si="4"/>
        <v>0</v>
      </c>
      <c r="BF18" s="899">
        <f t="shared" si="4"/>
        <v>0</v>
      </c>
      <c r="BG18" s="899">
        <f>IF(ISNUMBER(Datos!K18/Datos!J18),Datos!K18/Datos!J18," - ")</f>
        <v>0.62279670975323154</v>
      </c>
      <c r="BH18" s="903">
        <f>IF(ISNUMBER(((Datos!L18/Datos!K18)*11)/factor_trimestre),((Datos!L18/Datos!K18)*11)/factor_trimestre," - ")</f>
        <v>5.7811320754716977</v>
      </c>
      <c r="BI18" s="899">
        <f>SUBTOTAL(9,BI15:BI17)</f>
        <v>0.48724489795918369</v>
      </c>
      <c r="BJ18" s="899">
        <f>SUBTOTAL(9,BJ15:BJ17)</f>
        <v>0</v>
      </c>
      <c r="BK18" s="899">
        <f>SUBTOTAL(9,BK15:BK17)</f>
        <v>0</v>
      </c>
      <c r="BL18" s="899">
        <f>IF(ISNUMBER((I18-AB18+L18)/(F18)),(I18-AB18+L18)/(F18)," - ")</f>
        <v>-0.48446069469835468</v>
      </c>
      <c r="BM18" s="905">
        <f>IF(ISNUMBER((Datos!P18-Datos!Q18)/(Datos!R18-Datos!P18+Datos!Q18)),(Datos!P18-Datos!Q18)/(Datos!R18-Datos!P18+Datos!Q18)," - ")</f>
        <v>0.18571428571428572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1072.7272727272727</v>
      </c>
      <c r="BZ18" s="1186"/>
    </row>
    <row r="19" spans="1:78" ht="18.75" customHeight="1" thickTop="1" thickBot="1">
      <c r="A19" s="172"/>
      <c r="B19" s="172"/>
      <c r="C19" s="818" t="str">
        <f>Datos!A19</f>
        <v>TOTAL JURISDICCIONES</v>
      </c>
      <c r="D19" s="818"/>
      <c r="E19" s="1166">
        <f t="shared" ref="E19:R19" si="6">SUBTOTAL(9,E9:E18)</f>
        <v>6</v>
      </c>
      <c r="F19" s="820">
        <f t="shared" si="6"/>
        <v>1110</v>
      </c>
      <c r="G19" s="820">
        <f t="shared" si="6"/>
        <v>1224</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132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538</v>
      </c>
      <c r="AC19" s="821">
        <f t="shared" si="7"/>
        <v>34</v>
      </c>
      <c r="AD19" s="821">
        <f t="shared" si="7"/>
        <v>0</v>
      </c>
      <c r="AE19" s="821">
        <f t="shared" si="7"/>
        <v>0</v>
      </c>
      <c r="AF19" s="828">
        <f t="shared" si="7"/>
        <v>1546</v>
      </c>
      <c r="AG19" s="828">
        <f t="shared" si="7"/>
        <v>0</v>
      </c>
      <c r="AH19" s="828">
        <f t="shared" si="7"/>
        <v>196</v>
      </c>
      <c r="AI19" s="828">
        <f t="shared" si="7"/>
        <v>0</v>
      </c>
      <c r="AJ19" s="821">
        <f t="shared" si="7"/>
        <v>0</v>
      </c>
      <c r="AK19" s="828">
        <f t="shared" si="7"/>
        <v>0</v>
      </c>
      <c r="AL19" s="828">
        <f t="shared" si="7"/>
        <v>0</v>
      </c>
      <c r="AM19" s="828">
        <f t="shared" si="7"/>
        <v>3358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127</v>
      </c>
      <c r="BD19" s="820">
        <f t="shared" si="7"/>
        <v>455</v>
      </c>
      <c r="BE19" s="820">
        <f t="shared" si="7"/>
        <v>0</v>
      </c>
      <c r="BF19" s="830">
        <f t="shared" si="7"/>
        <v>0</v>
      </c>
      <c r="BG19" s="915">
        <f>IF(ISNUMBER(Datos!K19/Datos!J19),Datos!K19/Datos!J19," - ")</f>
        <v>0.53872993719469642</v>
      </c>
      <c r="BH19" s="915">
        <f>IF(ISNUMBER(((Datos!L19/Datos!K19)*11)/factor_trimestre),((Datos!L19/Datos!K19)*11)/factor_trimestre," - ")</f>
        <v>11.727979274611398</v>
      </c>
      <c r="BI19" s="813">
        <f>IF(ISNUMBER(Datos!J19/Datos!I19),Datos!J19/Datos!I19," - ")</f>
        <v>0.37095521615324878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-0.48468468468468467</v>
      </c>
      <c r="BM19" s="889">
        <f>IF(ISNUMBER((Datos!P19-Datos!Q19+R19)/(Datos!R19-Datos!P19+Datos!Q19-R19)),(Datos!P19-Datos!Q19+R19)/(Datos!R19-Datos!P19+Datos!Q19-R19)," - ")</f>
        <v>3.0061349693251534E-2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1946</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622.38359018641654</v>
      </c>
      <c r="G21" s="552">
        <f>IF(ISNUMBER(STDEV(G8:G18)),STDEV(G8:G18),"-")</f>
        <v>605.63091070387088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269.80214973198417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27.911765738961531</v>
      </c>
      <c r="BD21" s="551"/>
      <c r="BE21" s="551">
        <f>IF(ISNUMBER(STDEV(BE8:BE18)),STDEV(BE8:BE18),"-")</f>
        <v>0</v>
      </c>
      <c r="BF21" s="556">
        <f>IF(ISNUMBER(STDEV(BF8:BF18)),STDEV(BF8:BF18),"-")</f>
        <v>0</v>
      </c>
      <c r="BG21" s="775">
        <f>IF(ISNUMBER(STDEV(BG8:BG18)),STDEV(BG8:BG18),"-")</f>
        <v>0.34933208645322877</v>
      </c>
      <c r="BH21" s="776">
        <f>IF(ISNUMBER(STDEV(BH8:BH18)),STDEV(BH8:BH18),"-")</f>
        <v>9.6869230122121959</v>
      </c>
      <c r="BI21" s="249">
        <f>IF(ISNUMBER(STDEV(BI8:BI18)),STDEV(BI8:BI18),"-")</f>
        <v>0.16765029311273019</v>
      </c>
      <c r="BJ21" s="230" t="str">
        <f>IF(ISNUMBER(BL21/BM21),BL21/BM21," - ")</f>
        <v xml:space="preserve"> - </v>
      </c>
      <c r="BK21" s="575"/>
      <c r="BL21" s="559">
        <f>IF(ISNUMBER(STDEV(BL8:BL18)),STDEV(BL8:BL18),"-")</f>
        <v>1.0987948153721477E-2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337.88694513865602</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29 nov. 2024</v>
      </c>
    </row>
    <row r="32" spans="1:78">
      <c r="C32" s="527"/>
      <c r="D32" s="527"/>
    </row>
  </sheetData>
  <sheetProtection algorithmName="SHA-512" hashValue="RYukydvDyrJ7/HqAs569c4wCh0lKDwRkSvP1mueSQ2nAVQgTjM4osAc4KUNuo2AZDeVsm2Iz/zzraLdTfn4hPw==" saltValue="9z6kC+vg2/kIi/6Yn9R8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LUCENA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3 al 3</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218.18181818181819</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v>
      </c>
      <c r="Z10" s="619">
        <f>IF(ISNUMBER(Datos!Q10),Datos!Q10," - ")</f>
        <v>2</v>
      </c>
      <c r="AA10" s="332">
        <f>IF(ISNUMBER(Datos!L10),Datos!L10,"-")</f>
        <v>14</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-0.16666666666666666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290.90909090909093</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240.54545454545453</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19</v>
      </c>
      <c r="AA12" s="332" t="str">
        <f>IF(ISNUMBER(IF(J_V="SI",Datos!L12,Datos!L12+Datos!AB12)-IF(Monitorios="SI",Datos!CD12,0)),
                          IF(J_V="SI",Datos!L12,Datos!L12+Datos!AB12)-IF(Monitorios="SI",Datos!CD12,0),
                          " - ")</f>
        <v xml:space="preserve"> - </v>
      </c>
      <c r="AB12" s="334"/>
      <c r="AC12" s="334"/>
      <c r="AD12" s="484"/>
      <c r="AE12" s="484">
        <f>IF(ISNUMBER(Datos!R12),Datos!R12," - ")</f>
        <v>3265</v>
      </c>
      <c r="AF12" s="229" t="str">
        <f>IF(ISNUMBER(Datos!BV12),Datos!BV12," - ")</f>
        <v xml:space="preserve"> - </v>
      </c>
      <c r="AG12" s="225" t="str">
        <f>IF(ISNUMBER(Datos!DV12),Datos!DV12," - ")</f>
        <v xml:space="preserve"> - </v>
      </c>
      <c r="AH12" s="298"/>
      <c r="AI12" s="227"/>
      <c r="AJ12" s="225">
        <f>IF(ISNUMBER(Datos!M12),Datos!M12," - ")</f>
        <v>57</v>
      </c>
      <c r="AK12" s="229">
        <f>IF(ISNUMBER(Datos!N12),Datos!N12," - ")</f>
        <v>115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23.887218045112778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2.7375707992448081E-2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123.63636363636364</v>
      </c>
      <c r="BZ12" s="1186">
        <f>Datos!EZ12</f>
        <v>0</v>
      </c>
    </row>
    <row r="13" spans="1:78" ht="15.75" thickTop="1" thickBot="1">
      <c r="A13" s="178"/>
      <c r="B13" s="178"/>
      <c r="C13" s="863" t="str">
        <f>Datos!A13</f>
        <v>TOTAL</v>
      </c>
      <c r="D13" s="863"/>
      <c r="E13" s="898">
        <f>SUBTOTAL(9,E8:E12)</f>
        <v>3</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106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v>
      </c>
      <c r="Z13" s="907">
        <f t="shared" si="2"/>
        <v>21</v>
      </c>
      <c r="AA13" s="900">
        <f t="shared" si="2"/>
        <v>14</v>
      </c>
      <c r="AB13" s="900">
        <f t="shared" si="2"/>
        <v>0</v>
      </c>
      <c r="AC13" s="900">
        <f t="shared" si="2"/>
        <v>0</v>
      </c>
      <c r="AD13" s="900">
        <f t="shared" si="2"/>
        <v>0</v>
      </c>
      <c r="AE13" s="900">
        <f t="shared" si="2"/>
        <v>3275</v>
      </c>
      <c r="AF13" s="908">
        <f t="shared" si="2"/>
        <v>0</v>
      </c>
      <c r="AG13" s="908">
        <f t="shared" si="2"/>
        <v>0</v>
      </c>
      <c r="AH13" s="908">
        <f t="shared" si="2"/>
        <v>0</v>
      </c>
      <c r="AI13" s="908">
        <f t="shared" si="2"/>
        <v>0</v>
      </c>
      <c r="AJ13" s="908">
        <f t="shared" si="2"/>
        <v>57</v>
      </c>
      <c r="AK13" s="908">
        <f t="shared" si="2"/>
        <v>115</v>
      </c>
      <c r="AL13" s="908">
        <f t="shared" si="2"/>
        <v>0</v>
      </c>
      <c r="AM13" s="908">
        <f t="shared" si="2"/>
        <v>0</v>
      </c>
      <c r="AN13" s="908">
        <f t="shared" si="2"/>
        <v>0</v>
      </c>
      <c r="AO13" s="904">
        <f>IF(ISNUMBER(((NºAsuntos!I13/NºAsuntos!G13)*11)/factor_trimestre),((NºAsuntos!I13/NºAsuntos!G13)*11)/factor_trimestre," - ")</f>
        <v>23.291970802919707</v>
      </c>
      <c r="AP13" s="910" t="str">
        <f>IF(ISNUMBER(Datos!CI13/Datos!CJ13),Datos!CI13/Datos!CJ13," - ")</f>
        <v xml:space="preserve"> - </v>
      </c>
      <c r="AQ13" s="928">
        <f t="shared" ref="AQ13:AV13" si="3">SUBTOTAL(9,AQ9:AQ12)</f>
        <v>0</v>
      </c>
      <c r="AR13" s="928">
        <f t="shared" si="3"/>
        <v>-0.13929095867421859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600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1094</v>
      </c>
      <c r="G16" s="225">
        <f>IF(ISNUMBER(IF(D_I="SI",Datos!I16,Datos!I16+Datos!AC16)),IF(D_I="SI",Datos!I16,Datos!I16+Datos!AC16)," - ")</f>
        <v>1092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490</v>
      </c>
      <c r="Z16" s="619">
        <f>IF(ISNUMBER(Datos!Q16),Datos!Q16," - ")</f>
        <v>12</v>
      </c>
      <c r="AA16" s="332">
        <f>IF(ISNUMBER(IF(D_I="SI",Datos!L16,Datos!L16+Datos!AF16)),IF(D_I="SI",Datos!L16,Datos!L16+Datos!AF16)," - ")</f>
        <v>1364</v>
      </c>
      <c r="AB16" s="334"/>
      <c r="AC16" s="334"/>
      <c r="AD16" s="484"/>
      <c r="AE16" s="484">
        <f>IF(ISNUMBER(Datos!R16),Datos!R16," - ")</f>
        <v>75</v>
      </c>
      <c r="AF16" s="229" t="str">
        <f>IF(ISNUMBER(Datos!BV16),Datos!BV16," - ")</f>
        <v xml:space="preserve"> - </v>
      </c>
      <c r="AG16" s="225"/>
      <c r="AH16" s="298"/>
      <c r="AI16" s="227"/>
      <c r="AJ16" s="225">
        <f>IF(ISNUMBER(Datos!M16),Datos!M16," - ")</f>
        <v>55</v>
      </c>
      <c r="AK16" s="229">
        <f>IF(ISNUMBER(Datos!N16),Datos!N16," - ")</f>
        <v>319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5.5673469387755103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181.81818181818181</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40</v>
      </c>
      <c r="Z17" s="619">
        <f>IF(ISNUMBER(Datos!Q17),Datos!Q17," - ")</f>
        <v>1</v>
      </c>
      <c r="AA17" s="332">
        <f>IF(ISNUMBER(Datos!L17),Datos!L17,"-")</f>
        <v>168</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15</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290.90909090909093</v>
      </c>
      <c r="BZ17" s="1186">
        <f>Datos!EZ17</f>
        <v>0</v>
      </c>
    </row>
    <row r="18" spans="1:78" ht="15.75" thickTop="1" thickBot="1">
      <c r="A18" s="178"/>
      <c r="B18" s="178"/>
      <c r="C18" s="863" t="str">
        <f>Datos!A18</f>
        <v>TOTAL</v>
      </c>
      <c r="D18" s="863"/>
      <c r="E18" s="1169">
        <f>SUBTOTAL(9,E15:E17)</f>
        <v>3</v>
      </c>
      <c r="F18" s="898">
        <f>SUBTOTAL(9,F15:F17)</f>
        <v>1094</v>
      </c>
      <c r="G18" s="898">
        <f>SUBTOTAL(9,G15:G17)</f>
        <v>1208</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530</v>
      </c>
      <c r="Z18" s="932">
        <f t="shared" si="5"/>
        <v>13</v>
      </c>
      <c r="AA18" s="932">
        <f t="shared" si="5"/>
        <v>1532</v>
      </c>
      <c r="AB18" s="932">
        <f t="shared" si="5"/>
        <v>0</v>
      </c>
      <c r="AC18" s="932">
        <f t="shared" si="5"/>
        <v>0</v>
      </c>
      <c r="AD18" s="932">
        <f t="shared" si="5"/>
        <v>0</v>
      </c>
      <c r="AE18" s="932">
        <f t="shared" si="5"/>
        <v>83</v>
      </c>
      <c r="AF18" s="932">
        <f t="shared" si="5"/>
        <v>0</v>
      </c>
      <c r="AG18" s="932">
        <f t="shared" si="5"/>
        <v>0</v>
      </c>
      <c r="AH18" s="932">
        <f t="shared" si="5"/>
        <v>0</v>
      </c>
      <c r="AI18" s="932">
        <f t="shared" si="5"/>
        <v>0</v>
      </c>
      <c r="AJ18" s="932">
        <f t="shared" si="5"/>
        <v>70</v>
      </c>
      <c r="AK18" s="932">
        <f t="shared" si="5"/>
        <v>340</v>
      </c>
      <c r="AL18" s="932">
        <f t="shared" si="5"/>
        <v>0</v>
      </c>
      <c r="AM18" s="932">
        <f t="shared" si="5"/>
        <v>0</v>
      </c>
      <c r="AN18" s="932">
        <f t="shared" si="5"/>
        <v>0</v>
      </c>
      <c r="AO18" s="934">
        <f>IF(ISNUMBER(((NºAsuntos!I18/NºAsuntos!G18)*11)/factor_trimestre),((NºAsuntos!I18/NºAsuntos!G18)*11)/factor_trimestre," - ")</f>
        <v>5.7811320754716977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1110</v>
      </c>
      <c r="G19" s="820">
        <f t="shared" si="7"/>
        <v>1224</v>
      </c>
      <c r="H19" s="821">
        <f t="shared" si="7"/>
        <v>0</v>
      </c>
      <c r="I19" s="820">
        <f t="shared" si="7"/>
        <v>0</v>
      </c>
      <c r="J19" s="822">
        <f t="shared" si="7"/>
        <v>0</v>
      </c>
      <c r="K19" s="820">
        <f t="shared" si="7"/>
        <v>0</v>
      </c>
      <c r="L19" s="823">
        <f t="shared" si="7"/>
        <v>0</v>
      </c>
      <c r="M19" s="820">
        <f t="shared" si="7"/>
        <v>0</v>
      </c>
      <c r="N19" s="821">
        <f t="shared" si="7"/>
        <v>132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538</v>
      </c>
      <c r="Z19" s="827">
        <f t="shared" si="8"/>
        <v>34</v>
      </c>
      <c r="AA19" s="828">
        <f t="shared" si="8"/>
        <v>1546</v>
      </c>
      <c r="AB19" s="828">
        <f t="shared" si="8"/>
        <v>0</v>
      </c>
      <c r="AC19" s="828">
        <f t="shared" si="8"/>
        <v>0</v>
      </c>
      <c r="AD19" s="829">
        <f t="shared" si="8"/>
        <v>0</v>
      </c>
      <c r="AE19" s="829">
        <f t="shared" si="8"/>
        <v>3358</v>
      </c>
      <c r="AF19" s="830">
        <f t="shared" si="8"/>
        <v>0</v>
      </c>
      <c r="AG19" s="831">
        <f t="shared" si="8"/>
        <v>0</v>
      </c>
      <c r="AH19" s="832">
        <f t="shared" si="8"/>
        <v>0</v>
      </c>
      <c r="AI19" s="830">
        <f t="shared" si="8"/>
        <v>0</v>
      </c>
      <c r="AJ19" s="820">
        <f t="shared" si="8"/>
        <v>127</v>
      </c>
      <c r="AK19" s="820">
        <f t="shared" si="8"/>
        <v>455</v>
      </c>
      <c r="AL19" s="820">
        <f t="shared" si="8"/>
        <v>0</v>
      </c>
      <c r="AM19" s="833">
        <f t="shared" si="8"/>
        <v>0</v>
      </c>
      <c r="AN19" s="823">
        <f>IF(ISNUMBER(Datos!K19/Datos!J19),Datos!K19/Datos!J19," - ")</f>
        <v>0.53872993719469642</v>
      </c>
      <c r="AO19" s="823">
        <f>IF(ISNUMBER(FIND("06",Criterios!A8,1)),(IF(ISNUMBER(((Datos!R19/Datos!Q19)*11)/factor_trimestre),((Datos!R19/Datos!Q19)*11)/factor_trimestre," - ")),(IF(ISNUMBER(((Datos!L19/Datos!K19)*11)/factor_trimestre),((Datos!L19/Datos!K19)*11)/factor_trimestre," - ")))</f>
        <v>11.727979274611398</v>
      </c>
      <c r="AP19" s="834" t="str">
        <f>IF(ISNUMBER(Datos!CI19/Datos!CJ19),Datos!CI19/Datos!CJ19," - ")</f>
        <v xml:space="preserve"> - </v>
      </c>
      <c r="AQ19" s="834">
        <f>IF(OR(ISNUMBER(FIND("01",Criterios!A8,1)),ISNUMBER(FIND("02",Criterios!A8,1)),ISNUMBER(FIND("03",Criterios!A8,1)),ISNUMBER(FIND("04",Criterios!A8,1))),(J19-Y19+K19)/(F19-K19),(I19-Y19+K19)/(F19-K19))</f>
        <v>-0.48468468468468467</v>
      </c>
      <c r="AR19" s="834">
        <f>IF(ISNUMBER((Datos!P19-Datos!Q19+O19)/(Datos!R19-Datos!P19+Datos!Q19-O19)),(Datos!P19-Datos!Q19+O19)/(Datos!R19-Datos!P19+Datos!Q19-O19)," - ")</f>
        <v>3.0061349693251534E-2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622.38359018641654</v>
      </c>
      <c r="G21" s="552">
        <f>IF(ISNUMBER(STDEV(G8:G18)),STDEV(G8:G18),"-")</f>
        <v>605.63091070387088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27.911765738961531</v>
      </c>
      <c r="AK21" s="252"/>
      <c r="AL21" s="252">
        <f>IF(ISNUMBER(STDEV(AL8:AL18)),STDEV(AL8:AL18),"-")</f>
        <v>0</v>
      </c>
      <c r="AM21" s="254">
        <f>IF(ISNUMBER(STDEV(AM8:AM18)),STDEV(AM8:AM18),"-")</f>
        <v>0</v>
      </c>
      <c r="AN21" s="539">
        <f>IF(ISNUMBER(STDEV(AN8:AN18)),STDEV(AN8:AN18),"-")</f>
        <v>0</v>
      </c>
      <c r="AO21" s="540">
        <f>IF(ISNUMBER(STDEV(AO8:AO18)),STDEV(AO8:AO18),"-")</f>
        <v>9.3130646199444165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153.88167612790645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29 nov. 2024</v>
      </c>
    </row>
    <row r="32" spans="1:78" ht="13.5" thickBot="1">
      <c r="C32" s="536"/>
      <c r="D32" s="527"/>
      <c r="E32" s="527"/>
    </row>
    <row r="33" spans="12:12" ht="15" thickBot="1">
      <c r="L33" s="546"/>
    </row>
  </sheetData>
  <sheetProtection algorithmName="SHA-512" hashValue="Nhgms6AvegFkQzR0pV/Oe7LmxtL5YBamwmxmBjn6NbK4NhyjOlzeU7/WGvv/9eXVCMPP/s6oTgCKYh974oNy5w==" saltValue="OA3nGTBOU9i18gGK6gW3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3 al 3</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rMxp8n+/DgQhuT4bOdQR0m0OIEKkGoSeC6hgHmG92X2bBvbDkob0ISOYrQDQ3zZ5P09jtrESiy2yvRLLmJlag==" saltValue="rfGUzuOj/vPW5Hn3BzOY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3 al 3</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YKpBE8r4iew3bkG+30YxEcb+cPJ+tr1I5K8GKYsdX4P9SeQfxrtAnhHIDGjrf1BA7Yqof91N8xxNroHgaETUA==" saltValue="9wyk34KjW0VTybv49Eun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3 al 3</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0.20802919708029197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0.14709885594026717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29 nov. 2024</v>
      </c>
    </row>
    <row r="32" spans="1:78">
      <c r="C32" s="774"/>
      <c r="D32" s="774"/>
    </row>
  </sheetData>
  <sheetProtection algorithmName="SHA-512" hashValue="nTkRZRhsyJBDoxwOgtRLAUvw6gyXBLzsO808eieS5K2CAq1AM5nnIvM5Sm5pROdnK4nUxoCFBtLkQBsqkNpE9g==" saltValue="1gTx8MPBGenKPkujjNjEA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Ya5nzp2gmiopFKgRumectyxlixz2UeDdL23mJLr/hcq4IepGg+0PgxvrnLlR9HasnvxgIHs1lRwhyMUj8Elfg==" saltValue="PF4R35Ff1/0F8YmnZqU2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LUCENA</v>
      </c>
      <c r="C4" s="375"/>
      <c r="D4" s="375"/>
      <c r="E4" s="375"/>
      <c r="F4" s="375"/>
      <c r="BQ4" s="471"/>
    </row>
    <row r="5" spans="1:69" ht="15.75" customHeight="1">
      <c r="A5" s="1198" t="str">
        <f>"Año:  " &amp;Criterios!B5 &amp; "     Trimestre   " &amp;Criterios!D5 &amp; " al " &amp;Criterios!D6</f>
        <v>Año:  2024     Trimestre   3 al 3</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6</v>
      </c>
      <c r="F10" s="404">
        <f>IF(ISNUMBER(E10/B10),E10/B10," - ")</f>
        <v>6</v>
      </c>
      <c r="G10" s="403">
        <f>IF(ISNUMBER(Datos!K10),Datos!K10," - ")</f>
        <v>8</v>
      </c>
      <c r="H10" s="404">
        <f>IF(ISNUMBER(G10/B10),G10/B10," - ")</f>
        <v>8</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2841</v>
      </c>
      <c r="D12" s="404">
        <f>IF(ISNUMBER(C12/Datos!BH12),C12/Datos!BH12," - ")</f>
        <v>947</v>
      </c>
      <c r="E12" s="403">
        <f>IF(ISNUMBER(IF(J_V="SI",Datos!J12,Datos!J12+Datos!Z12)),IF(J_V="SI",Datos!J12,Datos!J12+Datos!Z12)," - ")</f>
        <v>602</v>
      </c>
      <c r="F12" s="404">
        <f>IF(ISNUMBER(E12/B12),E12/B12," - ")</f>
        <v>200.66666666666666</v>
      </c>
      <c r="G12" s="403">
        <f>IF(ISNUMBER(IF(J_V="SI",Datos!K12,Datos!K12+Datos!AA12)),IF(J_V="SI",Datos!K12,Datos!K12+Datos!AA12)," - ")</f>
        <v>266</v>
      </c>
      <c r="H12" s="404">
        <f>IF(ISNUMBER(G12/B12),G12/B12," - ")</f>
        <v>88.666666666666671</v>
      </c>
      <c r="I12" s="403">
        <f>IF(ISNUMBER(IF(J_V="SI",Datos!L12,Datos!L12+Datos!AB12)),IF(J_V="SI",Datos!L12,Datos!L12+Datos!AB12)," - ")</f>
        <v>3177</v>
      </c>
      <c r="J12" s="404">
        <f>IF(ISNUMBER(I12/B12),I12/B12," - ")</f>
        <v>1059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2857</v>
      </c>
      <c r="D13" s="850" t="str">
        <f>IF(ISNUMBER(C13/Datos!BI13),C13/Datos!BI13," - ")</f>
        <v xml:space="preserve"> - </v>
      </c>
      <c r="E13" s="849">
        <f>SUBTOTAL(9,E8:E12)</f>
        <v>608</v>
      </c>
      <c r="F13" s="850">
        <f>IF(ISNUMBER(E13/B13),E13/B13," - ")</f>
        <v>202.66666666666666</v>
      </c>
      <c r="G13" s="849">
        <f>SUBTOTAL(9,G8:G12)</f>
        <v>274</v>
      </c>
      <c r="H13" s="850">
        <f>IF(ISNUMBER(G13/B13),G13/B13," - ")</f>
        <v>91.333333333333329</v>
      </c>
      <c r="I13" s="849">
        <f>SUBTOTAL(9,I8:I12)</f>
        <v>3191</v>
      </c>
      <c r="J13" s="850">
        <f>IF(ISNUMBER(I13/B13),I13/B13," - ")</f>
        <v>1063.6666666666667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1092</v>
      </c>
      <c r="D16" s="404">
        <f>IF(ISNUMBER(C16/Datos!BH16),C16/Datos!BH16," - ")</f>
        <v>364</v>
      </c>
      <c r="E16" s="403">
        <f>IF(ISNUMBER(IF(D_I="SI",Datos!J16,Datos!J16+Datos!AD16)),IF(D_I="SI",Datos!J16,Datos!J16+Datos!AD16)," - ")</f>
        <v>760</v>
      </c>
      <c r="F16" s="404">
        <f>IF(ISNUMBER(E16/B16),E16/B16," - ")</f>
        <v>253.33333333333334</v>
      </c>
      <c r="G16" s="403">
        <f>IF(ISNUMBER(IF(D_I="SI",Datos!K16,Datos!K16+Datos!AE16)),IF(D_I="SI",Datos!K16,Datos!K16+Datos!AE16)," - ")</f>
        <v>490</v>
      </c>
      <c r="H16" s="404">
        <f>IF(ISNUMBER(G16/B16),G16/B16," - ")</f>
        <v>163.33333333333334</v>
      </c>
      <c r="I16" s="403">
        <f>IF(ISNUMBER(IF(D_I="SI",Datos!L16,Datos!L16+Datos!AF16)),IF(D_I="SI",Datos!L16,Datos!L16+Datos!AF16)," - ")</f>
        <v>1364</v>
      </c>
      <c r="J16" s="404">
        <f>IF(ISNUMBER(I16/B16),I16/B16," - ")</f>
        <v>454.66666666666669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116</v>
      </c>
      <c r="D17" s="404">
        <f>IF(ISNUMBER(C17/Datos!BH17),C17/Datos!BH17," - ")</f>
        <v>116</v>
      </c>
      <c r="E17" s="403">
        <f>IF(ISNUMBER(IF(D_I="SI",Datos!J17,Datos!J17+Datos!AD17)),IF(D_I="SI",Datos!J17,Datos!J17+Datos!AD17)," - ")</f>
        <v>91</v>
      </c>
      <c r="F17" s="404">
        <f>IF(ISNUMBER(E17/B17),E17/B17," - ")</f>
        <v>91</v>
      </c>
      <c r="G17" s="403">
        <f>IF(ISNUMBER(IF(D_I="SI",Datos!K17,Datos!K17+Datos!AE17)),IF(D_I="SI",Datos!K17,Datos!K17+Datos!AE17)," - ")</f>
        <v>40</v>
      </c>
      <c r="H17" s="404">
        <f>IF(ISNUMBER(G17/B17),G17/B17," - ")</f>
        <v>40</v>
      </c>
      <c r="I17" s="403">
        <f>IF(ISNUMBER(IF(D_I="SI",Datos!L17,Datos!L17+Datos!AF17)),IF(D_I="SI",Datos!L17,Datos!L17+Datos!AF17)," - ")</f>
        <v>168</v>
      </c>
      <c r="J17" s="404">
        <f>IF(ISNUMBER(I17/B17),I17/B17," - ")</f>
        <v>168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1208</v>
      </c>
      <c r="D18" s="850" t="str">
        <f>IF(ISNUMBER(C18/Datos!BI18),C18/Datos!BI18," - ")</f>
        <v xml:space="preserve"> - </v>
      </c>
      <c r="E18" s="849">
        <f>SUBTOTAL(9,E14:E17)</f>
        <v>851</v>
      </c>
      <c r="F18" s="850">
        <f>IF(ISNUMBER(E18/B18),E18/B18," - ")</f>
        <v>283.66666666666669</v>
      </c>
      <c r="G18" s="849">
        <f>SUBTOTAL(9,G14:G17)</f>
        <v>530</v>
      </c>
      <c r="H18" s="850">
        <f>IF(ISNUMBER(G18/B18),G18/B18," - ")</f>
        <v>176.66666666666666</v>
      </c>
      <c r="I18" s="849">
        <f>SUBTOTAL(9,I14:I17)</f>
        <v>1532</v>
      </c>
      <c r="J18" s="850">
        <f>IF(ISNUMBER(I18/B18),I18/B18," - ")</f>
        <v>510.66666666666669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4065</v>
      </c>
      <c r="D19" s="795" t="str">
        <f>IF(ISNUMBER(C19/Datos!BI19),C19/Datos!BI19," - ")</f>
        <v xml:space="preserve"> - </v>
      </c>
      <c r="E19" s="794">
        <f>SUBTOTAL(9,E9:E18)</f>
        <v>1459</v>
      </c>
      <c r="F19" s="795">
        <f>IF(ISNUMBER(E19/B19),E19/B19," - ")</f>
        <v>486.33333333333331</v>
      </c>
      <c r="G19" s="794">
        <f>SUBTOTAL(9,G9:G18)</f>
        <v>804</v>
      </c>
      <c r="H19" s="795">
        <f>IF(ISNUMBER(G19/B19),G19/B19," - ")</f>
        <v>268</v>
      </c>
      <c r="I19" s="794">
        <f>SUBTOTAL(9,I9:I18)</f>
        <v>4723</v>
      </c>
      <c r="J19" s="795">
        <f>IF(ISNUMBER(I19/B19),I19/B19," - ")</f>
        <v>1574.3333333333333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29 nov. 2024</v>
      </c>
    </row>
    <row r="27" spans="1:69">
      <c r="A27" s="414"/>
    </row>
  </sheetData>
  <sheetProtection algorithmName="SHA-512" hashValue="VXffj6OiuER0eD/9ITENCn+47VmiQWUTHQQzwtoto8HKm/3bxG6v0a0ROY/FEcP0+ggANreL+b8ImKxyQCIwmQ==" saltValue="Ef4jKbBefTjrdL/HF9gm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LUCENA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3 al 3</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3265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57</v>
      </c>
      <c r="AM12" s="690">
        <f>IF(ISNUMBER(Datos!N12+DatosP!N16),Datos!N12+DatosP!N16," - ")</f>
        <v>115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23.887218045112778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2.7375707992448081E-2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106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v>
      </c>
      <c r="AC13" s="939">
        <f t="shared" si="1"/>
        <v>0</v>
      </c>
      <c r="AD13" s="939">
        <f t="shared" si="1"/>
        <v>19</v>
      </c>
      <c r="AE13" s="939">
        <f t="shared" si="1"/>
        <v>0</v>
      </c>
      <c r="AF13" s="939">
        <f t="shared" si="1"/>
        <v>14</v>
      </c>
      <c r="AG13" s="939">
        <f t="shared" si="1"/>
        <v>0</v>
      </c>
      <c r="AH13" s="939">
        <f t="shared" si="1"/>
        <v>3265</v>
      </c>
      <c r="AI13" s="939">
        <f t="shared" si="1"/>
        <v>0</v>
      </c>
      <c r="AJ13" s="939">
        <f t="shared" si="1"/>
        <v>0</v>
      </c>
      <c r="AK13" s="939">
        <f t="shared" si="1"/>
        <v>0</v>
      </c>
      <c r="AL13" s="939">
        <f t="shared" si="1"/>
        <v>57</v>
      </c>
      <c r="AM13" s="939">
        <f t="shared" si="1"/>
        <v>115</v>
      </c>
      <c r="AN13" s="939">
        <f t="shared" si="1"/>
        <v>0</v>
      </c>
      <c r="AO13" s="939">
        <f t="shared" si="1"/>
        <v>0</v>
      </c>
      <c r="AP13" s="944">
        <f>IF(ISNUMBER(((Datos!L13/Datos!K13)*11)/factor_trimestre),((Datos!L13/Datos!K13)*11)/factor_trimestre," - ")</f>
        <v>24.752066115702476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2.7375707992448081E-2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5.7811320754716977</v>
      </c>
      <c r="AQ18" s="944">
        <f>IF(ISNUMBER(((Datos!M18/Datos!L18)*11)/factor_trimestre),((Datos!M18/Datos!L18)*11)/factor_trimestre," - ")</f>
        <v>9.1383812010443863E-2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0.18571428571428572</v>
      </c>
      <c r="AW18" s="946">
        <f>IF(ISNUMBER((Datos!Q18-Datos!R18)/(Datos!S18-Datos!Q18+Datos!R18)),(Datos!Q18-Datos!R18)/(Datos!S18-Datos!Q18+Datos!R18)," - ")</f>
        <v>-6.7698259187620888E-2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106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v>
      </c>
      <c r="AC19" s="957">
        <f t="shared" si="5"/>
        <v>0</v>
      </c>
      <c r="AD19" s="957">
        <f t="shared" si="5"/>
        <v>19</v>
      </c>
      <c r="AE19" s="957">
        <f t="shared" si="5"/>
        <v>0</v>
      </c>
      <c r="AF19" s="958">
        <f t="shared" si="5"/>
        <v>14</v>
      </c>
      <c r="AG19" s="958">
        <f t="shared" si="5"/>
        <v>0</v>
      </c>
      <c r="AH19" s="958">
        <f t="shared" si="5"/>
        <v>3265</v>
      </c>
      <c r="AI19" s="958">
        <f t="shared" si="5"/>
        <v>0</v>
      </c>
      <c r="AJ19" s="959">
        <f t="shared" si="5"/>
        <v>0</v>
      </c>
      <c r="AK19" s="959">
        <f t="shared" si="5"/>
        <v>0</v>
      </c>
      <c r="AL19" s="951">
        <f t="shared" si="5"/>
        <v>57</v>
      </c>
      <c r="AM19" s="951">
        <f t="shared" si="5"/>
        <v>115</v>
      </c>
      <c r="AN19" s="951">
        <f t="shared" si="5"/>
        <v>0</v>
      </c>
      <c r="AO19" s="951">
        <f t="shared" si="5"/>
        <v>0</v>
      </c>
      <c r="AP19" s="951">
        <f>IF(ISNUMBER(((Datos!L19/Datos!K19)*11)/factor_trimestre),((Datos!L19/Datos!K19)*11)/factor_trimestre," - ")</f>
        <v>11.727979274611398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3.0061349693251534E-2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4.6188021535170067</v>
      </c>
      <c r="AC21" s="738">
        <f>IF(ISNUMBER(STDEV(AC8:AC18)),STDEV(AC8:AC18),"-")</f>
        <v>0</v>
      </c>
      <c r="AD21" s="741"/>
      <c r="AE21" s="741"/>
      <c r="AF21" s="741"/>
      <c r="AG21" s="741"/>
      <c r="AH21" s="741"/>
      <c r="AI21" s="741"/>
      <c r="AJ21" s="742">
        <f>IF(ISNUMBER(STDEV(AJ8:AJ18)),STDEV(AJ8:AJ18),"-")</f>
        <v>0</v>
      </c>
      <c r="AK21" s="744"/>
      <c r="AL21" s="736">
        <f>IF(ISNUMBER(STDEV(AL8:AL18)),STDEV(AL8:AL18),"-")</f>
        <v>32.908965343808667</v>
      </c>
      <c r="AM21" s="736"/>
      <c r="AN21" s="736">
        <f>IF(ISNUMBER(STDEV(AN8:AN18)),STDEV(AN8:AN18),"-")</f>
        <v>0</v>
      </c>
      <c r="AO21" s="742">
        <f>IF(ISNUMBER(STDEV(AO8:AO18)),STDEV(AO8:AO18),"-")</f>
        <v>0</v>
      </c>
      <c r="AP21" s="779">
        <f>IF(ISNUMBER(STDEV(AP8:AP18)),STDEV(AP8:AP18),"-")</f>
        <v>11.405288199759688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29 nov. 2024</v>
      </c>
      <c r="W30"/>
      <c r="X30"/>
    </row>
    <row r="32" spans="1:78">
      <c r="C32" s="774"/>
      <c r="D32" s="774"/>
      <c r="W32"/>
      <c r="X32"/>
    </row>
  </sheetData>
  <sheetProtection algorithmName="SHA-512" hashValue="R5ba8A4iFF6RLMK81yKyvBZIgISXMT92oMvDqOyHo+i9ynUzBuBb5XwNTxv7Hi59aOcXSH2AJBf8D3ZTEZFWUg==" saltValue="CrH+dGFvKEKAC5Mky9uO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LUCENA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29 nov. 2024</v>
      </c>
      <c r="B23" s="391"/>
      <c r="C23" s="391"/>
    </row>
    <row r="27" spans="1:13">
      <c r="A27" s="414"/>
      <c r="B27" s="414"/>
      <c r="C27" s="414"/>
    </row>
  </sheetData>
  <sheetProtection algorithmName="SHA-512" hashValue="9uQ3+2PT0rcPjHQBqddKocaQ8UjWP/zJbYZe/kNKsoah6DhQ+iOyIl0TLK1RPYdDPUpQ/vx3De98rf/UJZivlg==" saltValue="Jz2ajK59NNcWQHI4wStd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LUCENA</v>
      </c>
      <c r="BZ4" s="471"/>
    </row>
    <row r="5" spans="1:78" ht="15.75" customHeight="1">
      <c r="A5" s="1210" t="str">
        <f>"Año:  " &amp;Criterios!B5 &amp; "                  Trimestre   " &amp;Criterios!D5 &amp; " al " &amp;Criterios!D6</f>
        <v>Año:  2024                  Trimestre   3 al 3</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57</v>
      </c>
      <c r="E12" s="404">
        <f t="shared" si="0"/>
        <v>19</v>
      </c>
      <c r="F12" s="403">
        <f>IF(ISNUMBER(Datos!N12),Datos!N12," - ")</f>
        <v>115</v>
      </c>
      <c r="G12" s="404">
        <f t="shared" si="1"/>
        <v>38.333333333333336</v>
      </c>
      <c r="H12" s="403">
        <f>IF(ISNUMBER(Datos!O12),Datos!O12," - ")</f>
        <v>79</v>
      </c>
      <c r="I12" s="404">
        <f t="shared" si="2"/>
        <v>26.333333333333332</v>
      </c>
      <c r="BZ12" s="1186">
        <f>Datos!EZ12</f>
        <v>0</v>
      </c>
    </row>
    <row r="13" spans="1:78" ht="14.25" thickTop="1" thickBot="1">
      <c r="A13" s="848" t="str">
        <f>Datos!A13</f>
        <v>TOTAL</v>
      </c>
      <c r="B13" s="849">
        <f>Datos!AP13</f>
        <v>3</v>
      </c>
      <c r="C13" s="851">
        <f>Datos!AR13</f>
        <v>3</v>
      </c>
      <c r="D13" s="849">
        <f>SUBTOTAL(9,D9:D12)</f>
        <v>57</v>
      </c>
      <c r="E13" s="850">
        <f t="shared" si="0"/>
        <v>19</v>
      </c>
      <c r="F13" s="849">
        <f>SUBTOTAL(9,F9:F12)</f>
        <v>115</v>
      </c>
      <c r="G13" s="850">
        <f t="shared" si="1"/>
        <v>38.333333333333336</v>
      </c>
      <c r="H13" s="849">
        <f>SUBTOTAL(9,H9:H12)</f>
        <v>79</v>
      </c>
      <c r="I13" s="850">
        <f>IF(ISNUMBER(H13/B13),H13/B13," - ")</f>
        <v>26.333333333333332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55</v>
      </c>
      <c r="E16" s="404">
        <f t="shared" si="3"/>
        <v>18.333333333333332</v>
      </c>
      <c r="F16" s="403">
        <f>IF(ISNUMBER(Datos!N16),Datos!N16," - ")</f>
        <v>319</v>
      </c>
      <c r="G16" s="404">
        <f t="shared" si="4"/>
        <v>106.33333333333333</v>
      </c>
      <c r="H16" s="403">
        <f>IF(ISNUMBER(Datos!O16),Datos!O16," - ")</f>
        <v>5</v>
      </c>
      <c r="I16" s="404">
        <f t="shared" si="5"/>
        <v>1.6666666666666667</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70</v>
      </c>
      <c r="E18" s="850">
        <f t="shared" si="3"/>
        <v>23.333333333333332</v>
      </c>
      <c r="F18" s="849">
        <f>SUBTOTAL(9,F15:F17)</f>
        <v>340</v>
      </c>
      <c r="G18" s="850">
        <f t="shared" si="4"/>
        <v>113.33333333333333</v>
      </c>
      <c r="H18" s="849">
        <f>SUBTOTAL(9,H15:H17)</f>
        <v>5</v>
      </c>
      <c r="I18" s="850">
        <f>IF(ISNUMBER(H18/B18),H18/B18," - ")</f>
        <v>1.6666666666666667</v>
      </c>
      <c r="BZ18" s="1186"/>
    </row>
    <row r="19" spans="1:78" ht="14.25" thickTop="1" thickBot="1">
      <c r="A19" s="793" t="str">
        <f>Datos!A19</f>
        <v>TOTAL JURISDICCIONES</v>
      </c>
      <c r="B19" s="794">
        <f>Datos!AP19</f>
        <v>3</v>
      </c>
      <c r="C19" s="794">
        <f>Datos!AR19</f>
        <v>3</v>
      </c>
      <c r="D19" s="794">
        <f>SUBTOTAL(9,D8:D18)</f>
        <v>127</v>
      </c>
      <c r="E19" s="795">
        <f>IF(ISNUMBER(D19/B19),D19/B19," - ")</f>
        <v>42.333333333333336</v>
      </c>
      <c r="F19" s="794">
        <f>SUBTOTAL(9,F8:F18)</f>
        <v>455</v>
      </c>
      <c r="G19" s="795">
        <f>IF(ISNUMBER(F19/B19),F19/B19," - ")</f>
        <v>151.66666666666666</v>
      </c>
      <c r="H19" s="794">
        <f>SUBTOTAL(9,H8:H18)</f>
        <v>84</v>
      </c>
      <c r="I19" s="795">
        <f>IF(ISNUMBER(H19/B19),H19/B19," - ")</f>
        <v>28</v>
      </c>
    </row>
    <row r="22" spans="1:78">
      <c r="A22" s="391" t="str">
        <f>Criterios!A4</f>
        <v>Fecha Informe: 29 nov. 2024</v>
      </c>
    </row>
    <row r="27" spans="1:78">
      <c r="A27" s="414"/>
    </row>
  </sheetData>
  <sheetProtection algorithmName="SHA-512" hashValue="jThYlV0hl8VbSpS7Ccaa9JRd4YmCd1ZQlcyeMIHtsJzyP1JU29CDTbVApgfjh9UO0Bp+vKqmblOdy+Z2yHSqPQ==" saltValue="/SRFFIJ0Ex0mJ3uQMiBD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LUCENA</v>
      </c>
    </row>
    <row r="5" spans="1:4" ht="12.75" customHeight="1">
      <c r="A5" s="1210" t="str">
        <f>"Año:  " &amp;Criterios!B5 &amp; "                  Trimestre   " &amp;Criterios!D5 &amp; " al " &amp;Criterios!D6</f>
        <v>Año:  2024                  Trimestre   3 al 3</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106</v>
      </c>
      <c r="C12" s="434">
        <f>IF(ISNUMBER(Datos!Q12),Datos!Q12," - ")</f>
        <v>19</v>
      </c>
      <c r="D12" s="408">
        <f>IF(ISNUMBER(Datos!R12),Datos!R12," - ")</f>
        <v>3265</v>
      </c>
    </row>
    <row r="13" spans="1:4" ht="14.25" thickTop="1" thickBot="1">
      <c r="A13" s="848" t="str">
        <f>Datos!A13</f>
        <v>TOTAL</v>
      </c>
      <c r="B13" s="849">
        <f>SUBTOTAL(9,B9:B12)</f>
        <v>106</v>
      </c>
      <c r="C13" s="853">
        <f>SUBTOTAL(9,C9:C12)</f>
        <v>21</v>
      </c>
      <c r="D13" s="851">
        <f>SUBTOTAL(9,D9:D12)</f>
        <v>3275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12</v>
      </c>
      <c r="D16" s="408">
        <f>IF(ISNUMBER(Datos!R16),Datos!R16," - ")</f>
        <v>75</v>
      </c>
    </row>
    <row r="17" spans="1:4" ht="13.5" thickBot="1">
      <c r="A17" s="402" t="str">
        <f>Datos!A17</f>
        <v>Jdos. Violencia contra la mujer</v>
      </c>
      <c r="B17" s="433">
        <f>IF(ISNUMBER(Datos!P17),Datos!P17," - ")</f>
        <v>0</v>
      </c>
      <c r="C17" s="434">
        <f>IF(ISNUMBER(Datos!Q17),Datos!Q17," - ")</f>
        <v>1</v>
      </c>
      <c r="D17" s="408">
        <f>IF(ISNUMBER(Datos!R17),Datos!R17," - ")</f>
        <v>8</v>
      </c>
    </row>
    <row r="18" spans="1:4" ht="14.25" thickTop="1" thickBot="1">
      <c r="A18" s="848" t="str">
        <f>Datos!A18</f>
        <v>TOTAL</v>
      </c>
      <c r="B18" s="849">
        <f>SUBTOTAL(9,B15:B17)</f>
        <v>26</v>
      </c>
      <c r="C18" s="853">
        <f>SUBTOTAL(9,C15:C17)</f>
        <v>13</v>
      </c>
      <c r="D18" s="851">
        <f>SUBTOTAL(9,D15:D17)</f>
        <v>83</v>
      </c>
    </row>
    <row r="19" spans="1:4" ht="16.5" customHeight="1" thickTop="1" thickBot="1">
      <c r="A19" s="793" t="str">
        <f>Datos!A19</f>
        <v>TOTAL JURISDICCIONES</v>
      </c>
      <c r="B19" s="798">
        <f>SUBTOTAL(9,B8:B18)</f>
        <v>132</v>
      </c>
      <c r="C19" s="799">
        <f>SUBTOTAL(9,C8:C18)</f>
        <v>34</v>
      </c>
      <c r="D19" s="800">
        <f>SUBTOTAL(9,D8:D18)</f>
        <v>3358</v>
      </c>
    </row>
    <row r="20" spans="1:4" ht="7.5" customHeight="1"/>
    <row r="21" spans="1:4" ht="6" customHeight="1"/>
    <row r="22" spans="1:4">
      <c r="A22" s="391" t="str">
        <f>Criterios!A4</f>
        <v>Fecha Informe: 29 nov. 2024</v>
      </c>
    </row>
    <row r="27" spans="1:4">
      <c r="A27" s="414"/>
    </row>
  </sheetData>
  <sheetProtection algorithmName="SHA-512" hashValue="EjHSikyDgJVjk0AzHXaI5qzTAVo8oHvvUoF+jL4K0W6V6gcSSeGNnx/O78hN1OiD/kaY+ghw1v0TTFE8UvrPAA==" saltValue="m/hxUIqhWcC52kcovpHU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LUCENA</v>
      </c>
    </row>
    <row r="5" spans="1:11" ht="12.75" customHeight="1">
      <c r="A5" s="1210" t="str">
        <f>"Año:  " &amp;Criterios!B5 &amp; "    Trimestre   " &amp;Criterios!D5 &amp; " al " &amp;Criterios!D6</f>
        <v>Año:  2024    Trimestre   3 al 3</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0.77777777777777779</v>
      </c>
      <c r="C10" s="456">
        <f>IF(ISNUMBER((Datos!J10-Datos!T10)/Datos!T10),(Datos!J10-Datos!T10)/Datos!T10," - ")</f>
        <v>1</v>
      </c>
      <c r="D10" s="456" t="str">
        <f>IF(ISNUMBER((Datos!K10-Datos!U10)/Datos!U10),(Datos!K10-Datos!U10)/Datos!U10," - ")</f>
        <v xml:space="preserve"> - </v>
      </c>
      <c r="E10" s="456">
        <f>IF(ISNUMBER((Datos!L10-Datos!V10)/Datos!V10),(Datos!L10-Datos!V10)/Datos!V10," - ")</f>
        <v>0.16666666666666666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0.30082417582417581</v>
      </c>
      <c r="C12" s="456">
        <f>IF(ISNUMBER(
   IF(J_V="SI",(Datos!J12-Datos!T12)/Datos!T12,(Datos!J12+Datos!Z12-(Datos!T12+Datos!AH12))/(Datos!T12+Datos!AH12))
     ),IF(J_V="SI",(Datos!J12-Datos!T12)/Datos!T12,(Datos!J12+Datos!Z12-(Datos!T12+Datos!AH12))/(Datos!T12+Datos!AH12))," - ")</f>
        <v>4.1522491349480967E-2</v>
      </c>
      <c r="D12" s="456">
        <f>IF(ISNUMBER(
   IF(J_V="SI",(Datos!K12-Datos!U12)/Datos!U12,(Datos!K12+Datos!AA12-(Datos!U12+Datos!AI12))/(Datos!U12+Datos!AI12))
     ),IF(J_V="SI",(Datos!K12-Datos!U12)/Datos!U12,(Datos!K12+Datos!AA12-(Datos!U12+Datos!AI12))/(Datos!U12+Datos!AI12))," - ")</f>
        <v>-0.48148148148148145</v>
      </c>
      <c r="E12" s="456">
        <f>IF(ISNUMBER(
   IF(J_V="SI",(Datos!L12-Datos!V12)/Datos!V12,(Datos!L12+Datos!AB12-(Datos!V12+Datos!AJ12))/(Datos!V12+Datos!AJ12))
     ),IF(J_V="SI",(Datos!L12-Datos!V12)/Datos!V12,(Datos!L12+Datos!AB12-(Datos!V12+Datos!AJ12))/(Datos!V12+Datos!AJ12))," - ")</f>
        <v>0.41640659830584037</v>
      </c>
      <c r="F12" s="456">
        <f>IF(ISNUMBER((Datos!M12-Datos!W12)/Datos!W12),(Datos!M12-Datos!W12)/Datos!W12," - ")</f>
        <v>-0.109375</v>
      </c>
      <c r="G12" s="457">
        <f>IF(ISNUMBER((Datos!N12-Datos!X12)/Datos!X12),(Datos!N12-Datos!X12)/Datos!X12," - ")</f>
        <v>-0.31547619047619047</v>
      </c>
      <c r="H12" s="455">
        <f>IF(ISNUMBER(((NºAsuntos!G12/NºAsuntos!E12)-Datos!BD12)/Datos!BD12),((NºAsuntos!G12/NºAsuntos!E12)-Datos!BD12)/Datos!BD12," - ")</f>
        <v>-0.50215331610680447</v>
      </c>
      <c r="I12" s="456">
        <f>IF(ISNUMBER(((NºAsuntos!I12/NºAsuntos!G12)-Datos!BE12)/Datos!BE12),((NºAsuntos!I12/NºAsuntos!G12)-Datos!BE12)/Datos!BE12," - ")</f>
        <v>1.7316412967326922</v>
      </c>
      <c r="J12" s="461">
        <f>IF(ISNUMBER((('Resol  Asuntos'!D12/NºAsuntos!G12)-Datos!BF12)/Datos!BF12),(('Resol  Asuntos'!D12/NºAsuntos!G12)-Datos!BF12)/Datos!BF12," - ")</f>
        <v>-0.34566326530612246</v>
      </c>
      <c r="K12" s="462">
        <f>IF(ISNUMBER((((NºAsuntos!C12+NºAsuntos!E12)/NºAsuntos!G12)-Datos!BG12)/Datos!BG12),(((NºAsuntos!C12+NºAsuntos!E12)/NºAsuntos!G12)-Datos!BG12)/Datos!BG12," - ")</f>
        <v>1.404080893762284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0.30278157774737802</v>
      </c>
      <c r="C13" s="855">
        <f>IF(ISNUMBER(
   IF(J_V="SI",(Datos!J13-Datos!T13)/Datos!T13,(Datos!J13+Datos!Z13-(Datos!T13+Datos!AH13))/(Datos!T13+Datos!AH13))
     ),IF(J_V="SI",(Datos!J13-Datos!T13)/Datos!T13,(Datos!J13+Datos!Z13-(Datos!T13+Datos!AH13))/(Datos!T13+Datos!AH13))," - ")</f>
        <v>4.6471600688468159E-2</v>
      </c>
      <c r="D13" s="855">
        <f>IF(ISNUMBER(
   IF(J_V="SI",(Datos!K13-Datos!U13)/Datos!U13,(Datos!K13+Datos!AA13-(Datos!U13+Datos!AI13))/(Datos!U13+Datos!AI13))
     ),IF(J_V="SI",(Datos!K13-Datos!U13)/Datos!U13,(Datos!K13+Datos!AA13-(Datos!U13+Datos!AI13))/(Datos!U13+Datos!AI13))," - ")</f>
        <v>-0.46588693957115007</v>
      </c>
      <c r="E13" s="855">
        <f>IF(ISNUMBER(
   IF(J_V="SI",(Datos!L13-Datos!V13)/Datos!V13,(Datos!L13+Datos!AB13-(Datos!V13+Datos!AJ13))/(Datos!V13+Datos!AJ13))
     ),IF(J_V="SI",(Datos!L13-Datos!V13)/Datos!V13,(Datos!L13+Datos!AB13-(Datos!V13+Datos!AJ13))/(Datos!V13+Datos!AJ13))," - ")</f>
        <v>0.41507760532150778</v>
      </c>
      <c r="F13" s="856">
        <f>IF(ISNUMBER((Datos!M13-Datos!W13)/Datos!W13),(Datos!M13-Datos!W13)/Datos!W13," - ")</f>
        <v>-0.109375</v>
      </c>
      <c r="G13" s="857">
        <f>IF(ISNUMBER((Datos!N13-Datos!X13)/Datos!X13),(Datos!N13-Datos!X13)/Datos!X13," - ")</f>
        <v>-0.31547619047619047</v>
      </c>
      <c r="H13" s="857">
        <f>IF(ISNUMBER(((NºAsuntos!G13/NºAsuntos!E13)-Datos!BD13)/Datos!BD13),((NºAsuntos!G13/NºAsuntos!E13)-Datos!BD13)/Datos!BD13," - ")</f>
        <v>-0.48960577613624706</v>
      </c>
      <c r="I13" s="857">
        <f>IF(ISNUMBER(((NºAsuntos!I13/NºAsuntos!G13)-Datos!BE13)/Datos!BE13),((NºAsuntos!I13/NºAsuntos!G13)-Datos!BE13)/Datos!BE13," - ")</f>
        <v>1.6493971223720201</v>
      </c>
      <c r="J13" s="857">
        <f>IF(ISNUMBER((('Resol  Asuntos'!D13/NºAsuntos!G13)-Datos!BF13)/Datos!BF13),(('Resol  Asuntos'!D13/NºAsuntos!G13)-Datos!BF13)/Datos!BF13," - ")</f>
        <v>-0.36476798748696554</v>
      </c>
      <c r="K13" s="857">
        <f>IF(ISNUMBER((((NºAsuntos!C13+NºAsuntos!E13)/NºAsuntos!G13)-Datos!BG13)/Datos!BG13),(((NºAsuntos!C13+NºAsuntos!E13)/NºAsuntos!G13)-Datos!BG13)/Datos!BG13," - ")</f>
        <v>1.3386411358864112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0.20796460176991149</v>
      </c>
      <c r="C16" s="456">
        <f>IF(ISNUMBER(
   IF(D_I="SI",(Datos!J16-Datos!T16)/Datos!T16,(Datos!J16+Datos!AD16-(Datos!T16+Datos!AL16))/(Datos!T16+Datos!AL16))
     ),IF(D_I="SI",(Datos!J16-Datos!T16)/Datos!T16,(Datos!J16+Datos!AD16-(Datos!T16+Datos!AL16))/(Datos!T16+Datos!AL16))," - ")</f>
        <v>0.19496855345911951</v>
      </c>
      <c r="D16" s="456">
        <f>IF(ISNUMBER(
   IF(D_I="SI",(Datos!K16-Datos!U16)/Datos!U16,(Datos!K16+Datos!AE16-(Datos!U16+Datos!AM16))/(Datos!U16+Datos!AM16))
     ),IF(D_I="SI",(Datos!K16-Datos!U16)/Datos!U16,(Datos!K16+Datos!AE16-(Datos!U16+Datos!AM16))/(Datos!U16+Datos!AM16))," - ")</f>
        <v>-0.38902743142144636</v>
      </c>
      <c r="E16" s="456">
        <f>IF(ISNUMBER(
   IF(D_I="SI",(Datos!L16-Datos!V16)/Datos!V16,(Datos!L16+Datos!AF16-(Datos!V16+Datos!AN16))/(Datos!V16+Datos!AN16))
     ),IF(D_I="SI",(Datos!L16-Datos!V16)/Datos!V16,(Datos!L16+Datos!AF16-(Datos!V16+Datos!AN16))/(Datos!V16+Datos!AN16))," - ")</f>
        <v>0.84075573549257765</v>
      </c>
      <c r="F16" s="456">
        <f>IF(ISNUMBER((Datos!M16-Datos!W16)/Datos!W16),(Datos!M16-Datos!W16)/Datos!W16," - ")</f>
        <v>-0.2857142857142857</v>
      </c>
      <c r="G16" s="457">
        <f>IF(ISNUMBER((Datos!N16-Datos!X16)/Datos!X16),(Datos!N16-Datos!X16)/Datos!X16," - ")</f>
        <v>-0.50542635658914725</v>
      </c>
      <c r="H16" s="455">
        <f>IF(ISNUMBER(((NºAsuntos!G16/NºAsuntos!E16)-Datos!BD16)/Datos!BD16),((NºAsuntos!G16/NºAsuntos!E16)-Datos!BD16)/Datos!BD16," - ")</f>
        <v>-0.48871242945268412</v>
      </c>
      <c r="I16" s="456">
        <f>IF(ISNUMBER(((NºAsuntos!I16/NºAsuntos!G16)-Datos!BE16)/Datos!BE16),((NºAsuntos!I16/NºAsuntos!G16)-Datos!BE16)/Datos!BE16," - ")</f>
        <v>2.0128287752347904</v>
      </c>
      <c r="J16" s="461">
        <f>IF(ISNUMBER((('Resol  Asuntos'!D16/NºAsuntos!G16)-Datos!BF16)/Datos!BF16),(('Resol  Asuntos'!D16/NºAsuntos!G16)-Datos!BF16)/Datos!BF16," - ")</f>
        <v>0.16909620991253643</v>
      </c>
      <c r="K16" s="462">
        <f>IF(ISNUMBER((((NºAsuntos!C16+NºAsuntos!E16)/NºAsuntos!G16)-Datos!BG16)/Datos!BG16),(((NºAsuntos!C16+NºAsuntos!E16)/NºAsuntos!G16)-Datos!BG16)/Datos!BG16," - ")</f>
        <v>0.96833289159819769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0.93333333333333335</v>
      </c>
      <c r="C17" s="456">
        <f>IF(ISNUMBER(
   IF(D_I="SI",(Datos!J17-Datos!T17)/Datos!T17,(Datos!J17+Datos!AD17-(Datos!T17+Datos!AL17))/(Datos!T17+Datos!AL17))
     ),IF(D_I="SI",(Datos!J17-Datos!T17)/Datos!T17,(Datos!J17+Datos!AD17-(Datos!T17+Datos!AL17))/(Datos!T17+Datos!AL17))," - ")</f>
        <v>0.33823529411764708</v>
      </c>
      <c r="D17" s="456">
        <f>IF(ISNUMBER(
   IF(D_I="SI",(Datos!K17-Datos!U17)/Datos!U17,(Datos!K17+Datos!AE17-(Datos!U17+Datos!AM17))/(Datos!U17+Datos!AM17))
     ),IF(D_I="SI",(Datos!K17-Datos!U17)/Datos!U17,(Datos!K17+Datos!AE17-(Datos!U17+Datos!AM17))/(Datos!U17+Datos!AM17))," - ")</f>
        <v>-0.44444444444444442</v>
      </c>
      <c r="E17" s="456">
        <f>IF(ISNUMBER(
   IF(D_I="SI",(Datos!L17-Datos!V17)/Datos!V17,(Datos!L17+Datos!AF17-(Datos!V17+Datos!AN17))/(Datos!V17+Datos!AN17))
     ),IF(D_I="SI",(Datos!L17-Datos!V17)/Datos!V17,(Datos!L17+Datos!AF17-(Datos!V17+Datos!AN17))/(Datos!V17+Datos!AN17))," - ")</f>
        <v>1.9473684210526316</v>
      </c>
      <c r="F17" s="456">
        <f>IF(ISNUMBER((Datos!M17-Datos!W17)/Datos!W17),(Datos!M17-Datos!W17)/Datos!W17," - ")</f>
        <v>0.25</v>
      </c>
      <c r="G17" s="457">
        <f>IF(ISNUMBER((Datos!N17-Datos!X17)/Datos!X17),(Datos!N17-Datos!X17)/Datos!X17," - ")</f>
        <v>-0.36363636363636365</v>
      </c>
      <c r="H17" s="455">
        <f>IF(ISNUMBER(((NºAsuntos!G17/NºAsuntos!E17)-Datos!BD17)/Datos!BD17),((NºAsuntos!G17/NºAsuntos!E17)-Datos!BD17)/Datos!BD17," - ")</f>
        <v>-0.58485958485958489</v>
      </c>
      <c r="I17" s="456">
        <f>IF(ISNUMBER(((NºAsuntos!I17/NºAsuntos!G17)-Datos!BE17)/Datos!BE17),((NºAsuntos!I17/NºAsuntos!G17)-Datos!BE17)/Datos!BE17," - ")</f>
        <v>4.3052631578947373</v>
      </c>
      <c r="J17" s="461">
        <f>IF(ISNUMBER((('Resol  Asuntos'!D17/NºAsuntos!G17)-Datos!BF17)/Datos!BF17),(('Resol  Asuntos'!D17/NºAsuntos!G17)-Datos!BF17)/Datos!BF17," - ")</f>
        <v>1.2500000000000002</v>
      </c>
      <c r="K17" s="462">
        <f>IF(ISNUMBER((((NºAsuntos!C17+NºAsuntos!E17)/NºAsuntos!G17)-Datos!BG17)/Datos!BG17),(((NºAsuntos!C17+NºAsuntos!E17)/NºAsuntos!G17)-Datos!BG17)/Datos!BG17," - ")</f>
        <v>1.9109375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0.25311203319502074</v>
      </c>
      <c r="C18" s="855">
        <f>IF(ISNUMBER(
   IF(Criterios!B14="SI",(Datos!J18-Datos!T18)/Datos!T18,(Datos!J18+Datos!AD18-(Datos!T18+Datos!AL18))/(Datos!T18+Datos!AL18))
     ),IF(Criterios!B14="SI",(Datos!J18-Datos!T18)/Datos!T18,(Datos!J18+Datos!AD18-(Datos!T18+Datos!AL18))/(Datos!T18+Datos!AL18))," - ")</f>
        <v>0.20880681818181818</v>
      </c>
      <c r="D18" s="855">
        <f>IF(ISNUMBER(
   IF(Criterios!B14="SI",(Datos!K18-Datos!U18)/Datos!U18,(Datos!K18+Datos!AE18-(Datos!U18+Datos!AM18))/(Datos!U18+Datos!AM18))
     ),IF(Criterios!B14="SI",(Datos!K18-Datos!U18)/Datos!U18,(Datos!K18+Datos!AE18-(Datos!U18+Datos!AM18))/(Datos!U18+Datos!AM18))," - ")</f>
        <v>-0.39359267734553777</v>
      </c>
      <c r="E18" s="855">
        <f>IF(ISNUMBER(
   IF(Criterios!B14="SI",(Datos!L18-Datos!V18)/Datos!V18,(Datos!L18+Datos!AF18-(Datos!V18+Datos!AN18))/(Datos!V18+Datos!AN18))
     ),IF(Criterios!B14="SI",(Datos!L18-Datos!V18)/Datos!V18,(Datos!L18+Datos!AF18-(Datos!V18+Datos!AN18))/(Datos!V18+Datos!AN18))," - ")</f>
        <v>0.91979949874686717</v>
      </c>
      <c r="F18" s="856">
        <f>IF(ISNUMBER((Datos!M18-Datos!W18)/Datos!W18),(Datos!M18-Datos!W18)/Datos!W18," - ")</f>
        <v>-0.21348314606741572</v>
      </c>
      <c r="G18" s="857">
        <f>IF(ISNUMBER((Datos!N18-Datos!X18)/Datos!X18),(Datos!N18-Datos!X18)/Datos!X18," - ")</f>
        <v>-0.49852507374631266</v>
      </c>
      <c r="H18" s="857">
        <f>IF(ISNUMBER(((NºAsuntos!G18/NºAsuntos!E18)-Datos!BD18)/Datos!BD18),((NºAsuntos!G18/NºAsuntos!E18)-Datos!BD18)/Datos!BD18," - ")</f>
        <v>-0.49834223836810637</v>
      </c>
      <c r="I18" s="857">
        <f>IF(ISNUMBER(((NºAsuntos!I18/NºAsuntos!G18)-Datos!BE18)/Datos!BE18),((NºAsuntos!I18/NºAsuntos!G18)-Datos!BE18)/Datos!BE18," - ")</f>
        <v>2.1658580413297392</v>
      </c>
      <c r="J18" s="857">
        <f>IF(ISNUMBER((('Resol  Asuntos'!D18/NºAsuntos!G18)-Datos!BF18)/Datos!BF18),(('Resol  Asuntos'!D18/NºAsuntos!G18)-Datos!BF18)/Datos!BF18," - ")</f>
        <v>0.29701081195675211</v>
      </c>
      <c r="K18" s="857">
        <f>IF(ISNUMBER((((NºAsuntos!C18+NºAsuntos!E18)/NºAsuntos!G18)-Datos!BG18)/Datos!BG18),(((NºAsuntos!C18+NºAsuntos!E18)/NºAsuntos!G18)-Datos!BG18)/Datos!BG18," - ")</f>
        <v>1.0356160354735078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0.28761482420019008</v>
      </c>
      <c r="C19" s="802">
        <f>IF(ISNUMBER(
   IF(J_V="SI",(Datos!J19-Datos!T19)/Datos!T19,(Datos!J19+Datos!Z19-(Datos!T19+Datos!AH19))/(Datos!T19+Datos!AH19))
     ),IF(J_V="SI",(Datos!J19-Datos!T19)/Datos!T19,(Datos!J19+Datos!Z19-(Datos!T19+Datos!AH19))/(Datos!T19+Datos!AH19))," - ")</f>
        <v>0.13540856031128404</v>
      </c>
      <c r="D19" s="802">
        <f>IF(ISNUMBER(
   IF(J_V="SI",(Datos!K19-Datos!U19)/Datos!U19,(Datos!K19+Datos!AA19-(Datos!U19+Datos!AI19))/(Datos!U19+Datos!AI19))
     ),IF(J_V="SI",(Datos!K19-Datos!U19)/Datos!U19,(Datos!K19+Datos!AA19-(Datos!U19+Datos!AI19))/(Datos!U19+Datos!AI19))," - ")</f>
        <v>-0.42033165104542175</v>
      </c>
      <c r="E19" s="802">
        <f>IF(ISNUMBER(
   IF(J_V="SI",(Datos!L19-Datos!V19)/Datos!V19,(Datos!L19+Datos!AB19-(Datos!V19+Datos!AJ19))/(Datos!V19+Datos!AJ19))
     ),IF(J_V="SI",(Datos!L19-Datos!V19)/Datos!V19,(Datos!L19+Datos!AB19-(Datos!V19+Datos!AJ19))/(Datos!V19+Datos!AJ19))," - ")</f>
        <v>0.54700294792007864</v>
      </c>
      <c r="F19" s="803">
        <f>IF(ISNUMBER((Datos!M19-Datos!W19)/Datos!W19),(Datos!M19-Datos!W19)/Datos!W19," - ")</f>
        <v>-0.16993464052287582</v>
      </c>
      <c r="G19" s="804">
        <f>IF(ISNUMBER((Datos!N19-Datos!X19)/Datos!X19),(Datos!N19-Datos!X19)/Datos!X19," - ")</f>
        <v>-0.46217494089834515</v>
      </c>
      <c r="H19" s="805">
        <f>IF(ISNUMBER((Tasas!B19-Datos!BD19)/Datos!BD19),(Tasas!B19-Datos!BD19)/Datos!BD19," - ")</f>
        <v>-0.48946276325796229</v>
      </c>
      <c r="I19" s="806">
        <f>IF(ISNUMBER((Tasas!C19-Datos!BE19)/Datos!BE19),(Tasas!C19-Datos!BE19)/Datos!BE19," - ")</f>
        <v>1.6687724984641161</v>
      </c>
      <c r="J19" s="807">
        <f>IF(ISNUMBER((Tasas!D19-Datos!BF19)/Datos!BF19),(Tasas!D19-Datos!BF19)/Datos!BF19," - ")</f>
        <v>-0.14750663027276065</v>
      </c>
      <c r="K19" s="807">
        <f>IF(ISNUMBER((Tasas!E19-Datos!BG19)/Datos!BG19),(Tasas!E19-Datos!BG19)/Datos!BG19," - ")</f>
        <v>1.1453370249159427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29 nov.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5pFVyvq10a2rwaqaZ/W3DIjbVuYAaSoQfvrY0my8trnwRPTCeBczu/YHrjsLkV2OAJaF9GFGNLgA2eVeiJ07Q==" saltValue="F30O+/3aeNCVGoUWB0M8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LUCENA</v>
      </c>
    </row>
    <row r="5" spans="1:7" ht="12.75" customHeight="1">
      <c r="A5" s="1210" t="str">
        <f>"Año:  " &amp;Criterios!B5 &amp; "    Trimestre   " &amp;Criterios!D5 &amp; " al " &amp;Criterios!D6</f>
        <v>Año:  2024    Trimestre   3 al 3</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1.3333333333333333</v>
      </c>
      <c r="C10" s="443">
        <f>IF(ISNUMBER(NºAsuntos!I10/NºAsuntos!G10),NºAsuntos!I10/NºAsuntos!G10," - ")</f>
        <v>1.75</v>
      </c>
      <c r="D10" s="444">
        <f>IF(ISNUMBER('Resol  Asuntos'!D10/NºAsuntos!G10),'Resol  Asuntos'!D10/NºAsuntos!G10," - ")</f>
        <v>0</v>
      </c>
      <c r="E10" s="445">
        <f>IF(ISNUMBER((NºAsuntos!C10+NºAsuntos!E10)/NºAsuntos!G10),(NºAsuntos!C10+NºAsuntos!E10)/NºAsuntos!G10," - ")</f>
        <v>2.75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0.44186046511627908</v>
      </c>
      <c r="C12" s="443">
        <f>IF(ISNUMBER(NºAsuntos!I12/NºAsuntos!G12),NºAsuntos!I12/NºAsuntos!G12," - ")</f>
        <v>11.943609022556391</v>
      </c>
      <c r="D12" s="444">
        <f>IF(ISNUMBER('Resol  Asuntos'!D12/NºAsuntos!G12),'Resol  Asuntos'!D12/NºAsuntos!G12," - ")</f>
        <v>0.21428571428571427</v>
      </c>
      <c r="E12" s="445">
        <f>IF(ISNUMBER((NºAsuntos!C12+NºAsuntos!E12)/NºAsuntos!G12),(NºAsuntos!C12+NºAsuntos!E12)/NºAsuntos!G12," - ")</f>
        <v>12.943609022556391</v>
      </c>
      <c r="G12" s="463"/>
    </row>
    <row r="13" spans="1:7" ht="14.25" thickTop="1" thickBot="1">
      <c r="A13" s="848" t="str">
        <f>Datos!A13</f>
        <v>TOTAL</v>
      </c>
      <c r="B13" s="858">
        <f>IF(ISNUMBER(NºAsuntos!G13/NºAsuntos!E13),NºAsuntos!G13/NºAsuntos!E13," - ")</f>
        <v>0.45065789473684209</v>
      </c>
      <c r="C13" s="859">
        <f>IF(ISNUMBER(NºAsuntos!I13/NºAsuntos!G13),NºAsuntos!I13/NºAsuntos!G13," - ")</f>
        <v>11.645985401459853</v>
      </c>
      <c r="D13" s="860">
        <f>IF(ISNUMBER('Resol  Asuntos'!D13/NºAsuntos!G13),'Resol  Asuntos'!D13/NºAsuntos!G13," - ")</f>
        <v>0.20802919708029197</v>
      </c>
      <c r="E13" s="861">
        <f>IF(ISNUMBER((NºAsuntos!C13+NºAsuntos!E13)/NºAsuntos!G13),(NºAsuntos!C13+NºAsuntos!E13)/NºAsuntos!G13," - ")</f>
        <v>12.645985401459853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0.64473684210526316</v>
      </c>
      <c r="C16" s="443">
        <f>IF(ISNUMBER(NºAsuntos!I16/NºAsuntos!G16),NºAsuntos!I16/NºAsuntos!G16," - ")</f>
        <v>2.7836734693877552</v>
      </c>
      <c r="D16" s="444">
        <f>IF(ISNUMBER('Resol  Asuntos'!D16/NºAsuntos!G16),'Resol  Asuntos'!D16/NºAsuntos!G16," - ")</f>
        <v>0.11224489795918367</v>
      </c>
      <c r="E16" s="445">
        <f>IF(ISNUMBER((NºAsuntos!C16+NºAsuntos!E16)/NºAsuntos!G16),(NºAsuntos!C16+NºAsuntos!E16)/NºAsuntos!G16," - ")</f>
        <v>3.7795918367346939</v>
      </c>
      <c r="G16" s="463"/>
    </row>
    <row r="17" spans="1:7" ht="13.5" thickBot="1">
      <c r="A17" s="402" t="str">
        <f>Datos!A17</f>
        <v>Jdos. Violencia contra la mujer</v>
      </c>
      <c r="B17" s="442">
        <f>IF(ISNUMBER(NºAsuntos!G17/NºAsuntos!E17),NºAsuntos!G17/NºAsuntos!E17," - ")</f>
        <v>0.43956043956043955</v>
      </c>
      <c r="C17" s="443">
        <f>IF(ISNUMBER(NºAsuntos!I17/NºAsuntos!G17),NºAsuntos!I17/NºAsuntos!G17," - ")</f>
        <v>4.2</v>
      </c>
      <c r="D17" s="444">
        <f>IF(ISNUMBER('Resol  Asuntos'!D17/NºAsuntos!G17),'Resol  Asuntos'!D17/NºAsuntos!G17," - ")</f>
        <v>0.375</v>
      </c>
      <c r="E17" s="445">
        <f>IF(ISNUMBER((NºAsuntos!C17+NºAsuntos!E17)/NºAsuntos!G17),(NºAsuntos!C17+NºAsuntos!E17)/NºAsuntos!G17," - ")</f>
        <v>5.1749999999999998</v>
      </c>
      <c r="G17" s="463"/>
    </row>
    <row r="18" spans="1:7" ht="14.25" thickTop="1" thickBot="1">
      <c r="A18" s="848" t="str">
        <f>Datos!A18</f>
        <v>TOTAL</v>
      </c>
      <c r="B18" s="858">
        <f>IF(ISNUMBER(NºAsuntos!G18/NºAsuntos!E18),NºAsuntos!G18/NºAsuntos!E18," - ")</f>
        <v>0.62279670975323154</v>
      </c>
      <c r="C18" s="859">
        <f>IF(ISNUMBER(NºAsuntos!I18/NºAsuntos!G18),NºAsuntos!I18/NºAsuntos!G18," - ")</f>
        <v>2.8905660377358489</v>
      </c>
      <c r="D18" s="862">
        <f>IF(ISNUMBER('Resol  Asuntos'!D18/NºAsuntos!G18),'Resol  Asuntos'!D18/NºAsuntos!G18," - ")</f>
        <v>0.13207547169811321</v>
      </c>
      <c r="E18" s="861">
        <f>IF(ISNUMBER((NºAsuntos!C18+NºAsuntos!E18)/NºAsuntos!G18),(NºAsuntos!C18+NºAsuntos!E18)/NºAsuntos!G18," - ")</f>
        <v>3.8849056603773584</v>
      </c>
      <c r="G18" s="463"/>
    </row>
    <row r="19" spans="1:7" ht="15.75" customHeight="1" thickTop="1" thickBot="1">
      <c r="A19" s="793" t="str">
        <f>Datos!A19</f>
        <v>TOTAL JURISDICCIONES</v>
      </c>
      <c r="B19" s="808">
        <f>IF(ISNUMBER(NºAsuntos!G19/NºAsuntos!E19),NºAsuntos!G19/NºAsuntos!E19," - ")</f>
        <v>0.55106237148732007</v>
      </c>
      <c r="C19" s="809">
        <f>IF(ISNUMBER(NºAsuntos!I19/NºAsuntos!G19),NºAsuntos!I19/NºAsuntos!G19," - ")</f>
        <v>5.8743781094527368</v>
      </c>
      <c r="D19" s="810">
        <f>IF(ISNUMBER('Resol  Asuntos'!D19/NºAsuntos!G19),'Resol  Asuntos'!D19/NºAsuntos!G19," - ")</f>
        <v>0.15796019900497513</v>
      </c>
      <c r="E19" s="811">
        <f>IF(ISNUMBER((NºAsuntos!C19+NºAsuntos!E19)/NºAsuntos!G19),(NºAsuntos!C19+NºAsuntos!E19)/NºAsuntos!G19," - ")</f>
        <v>6.8706467661691546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29 nov.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c0vpYUtUi0EW0+lxcA5ToxHyv5xUW/AagMX8QSnZS8BX2Suql8r5ZT6/U/Z46pD8vqPFzU1fMEv6SmHJlZUZQ==" saltValue="0fUOZw7L7zOsrhBQWmoM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LUCENA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3 al 3</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v>
      </c>
      <c r="X10" s="226">
        <f>IF(ISNUMBER(Datos!Q10),Datos!Q10," - ")</f>
        <v>2</v>
      </c>
      <c r="Y10" s="334">
        <f t="shared" ref="Y10:Y12" si="0">SUM(W10:X10)</f>
        <v>10</v>
      </c>
      <c r="Z10" s="335" t="str">
        <f>IF(ISNUMBER(Datos!CC10),Datos!CC10," - ")</f>
        <v xml:space="preserve"> - </v>
      </c>
      <c r="AA10" s="332">
        <f>IF(ISNUMBER(Datos!L10),Datos!L10,"-")</f>
        <v>14</v>
      </c>
      <c r="AB10" s="334">
        <f>IF(ISNUMBER(Datos!R10),Datos!R10," - ")</f>
        <v>10</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1.3333333333333333</v>
      </c>
      <c r="AM10" s="260">
        <f>IF(ISNUMBER(((NºAsuntos!I10/NºAsuntos!G10)*11)/factor_trimestre),((NºAsuntos!I10/NºAsuntos!G10)*11)/factor_trimestre," - ")</f>
        <v>3.5</v>
      </c>
      <c r="AN10" s="244">
        <f>IF(ISNUMBER('Resol  Asuntos'!D10/NºAsuntos!G10),'Resol  Asuntos'!D10/NºAsuntos!G10," - ")</f>
        <v>0</v>
      </c>
      <c r="AO10" s="245">
        <f>IF(ISNUMBER((NºAsuntos!C10+NºAsuntos!E10)/NºAsuntos!G10),(NºAsuntos!C10+NºAsuntos!E10)/NºAsuntos!G10," - ")</f>
        <v>2.75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19</v>
      </c>
      <c r="Y12" s="334">
        <f t="shared" si="0"/>
        <v>19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3265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57</v>
      </c>
      <c r="AJ12" s="229" t="str">
        <f>IF(ISNUMBER(Datos!BW12),Datos!BW12," - ")</f>
        <v xml:space="preserve"> - </v>
      </c>
      <c r="AK12" s="228" t="str">
        <f>IF(ISNUMBER(Datos!BX12),Datos!BX12," - ")</f>
        <v xml:space="preserve"> - </v>
      </c>
      <c r="AL12" s="243">
        <f>IF(ISNUMBER(NºAsuntos!G12/NºAsuntos!E12),NºAsuntos!G12/NºAsuntos!E12," - ")</f>
        <v>0.44186046511627908</v>
      </c>
      <c r="AM12" s="260">
        <f>IF(ISNUMBER(((NºAsuntos!I12/NºAsuntos!G12)*11)/factor_trimestre),((NºAsuntos!I12/NºAsuntos!G12)*11)/factor_trimestre," - ")</f>
        <v>23.887218045112778</v>
      </c>
      <c r="AN12" s="244">
        <f>IF(ISNUMBER('Resol  Asuntos'!D12/NºAsuntos!G12),'Resol  Asuntos'!D12/NºAsuntos!G12," - ")</f>
        <v>0.21428571428571427</v>
      </c>
      <c r="AO12" s="245">
        <f>IF(ISNUMBER((NºAsuntos!C12+NºAsuntos!E12)/NºAsuntos!G12),(NºAsuntos!C12+NºAsuntos!E12)/NºAsuntos!G12," - ")</f>
        <v>12.943609022556391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16</v>
      </c>
      <c r="G13" s="866">
        <f t="shared" si="3"/>
        <v>16</v>
      </c>
      <c r="H13" s="865">
        <f t="shared" si="3"/>
        <v>0</v>
      </c>
      <c r="I13" s="867">
        <f t="shared" si="3"/>
        <v>0</v>
      </c>
      <c r="J13" s="867">
        <f t="shared" si="3"/>
        <v>0</v>
      </c>
      <c r="K13" s="867">
        <f t="shared" si="3"/>
        <v>0</v>
      </c>
      <c r="L13" s="867">
        <f t="shared" si="3"/>
        <v>106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v>
      </c>
      <c r="X13" s="867">
        <f t="shared" si="4"/>
        <v>21</v>
      </c>
      <c r="Y13" s="868">
        <f t="shared" si="4"/>
        <v>29</v>
      </c>
      <c r="Z13" s="868">
        <f t="shared" si="4"/>
        <v>0</v>
      </c>
      <c r="AA13" s="868">
        <f t="shared" si="4"/>
        <v>14</v>
      </c>
      <c r="AB13" s="868">
        <f t="shared" si="4"/>
        <v>3275</v>
      </c>
      <c r="AC13" s="868">
        <f t="shared" si="4"/>
        <v>24</v>
      </c>
      <c r="AD13" s="868">
        <f t="shared" si="4"/>
        <v>0</v>
      </c>
      <c r="AE13" s="872">
        <f t="shared" si="4"/>
        <v>0</v>
      </c>
      <c r="AF13" s="865">
        <f t="shared" si="4"/>
        <v>0</v>
      </c>
      <c r="AG13" s="873">
        <f t="shared" si="4"/>
        <v>0</v>
      </c>
      <c r="AH13" s="870">
        <f t="shared" si="4"/>
        <v>0</v>
      </c>
      <c r="AI13" s="865">
        <f t="shared" si="4"/>
        <v>57</v>
      </c>
      <c r="AJ13" s="867">
        <f t="shared" si="4"/>
        <v>0</v>
      </c>
      <c r="AK13" s="870">
        <f>SUBTOTAL(9,AK9:AK12)</f>
        <v>0</v>
      </c>
      <c r="AL13" s="874">
        <f>IF(ISNUMBER(NºAsuntos!G13/NºAsuntos!E13),NºAsuntos!G13/NºAsuntos!E13," - ")</f>
        <v>0.45065789473684209</v>
      </c>
      <c r="AM13" s="874">
        <f>IF(ISNUMBER(((NºAsuntos!I13/NºAsuntos!G13)*11)/factor_trimestre),((NºAsuntos!I13/NºAsuntos!G13)*11)/factor_trimestre," - ")</f>
        <v>23.291970802919707</v>
      </c>
      <c r="AN13" s="875">
        <f>IF(ISNUMBER('Resol  Asuntos'!D13/NºAsuntos!G13),'Resol  Asuntos'!D13/NºAsuntos!G13," - ")</f>
        <v>0.20802919708029197</v>
      </c>
      <c r="AO13" s="876">
        <f>IF(ISNUMBER((NºAsuntos!C13+NºAsuntos!E13)/NºAsuntos!G13),(NºAsuntos!C13+NºAsuntos!E13)/NºAsuntos!G13," - ")</f>
        <v>12.645985401459853</v>
      </c>
      <c r="AP13" s="877" t="str">
        <f t="shared" si="2"/>
        <v xml:space="preserve"> - </v>
      </c>
      <c r="AQ13" s="877">
        <f>IF(ISNUMBER((H13-W13+K13)/(F13)),(H13-W13+K13)/(F13)," - ")</f>
        <v>-0.5</v>
      </c>
      <c r="AR13" s="878">
        <f>IF(ISNUMBER((Datos!P13-Datos!Q13)/(Datos!R13-Datos!P13+Datos!Q13)),(Datos!P13-Datos!Q13)/(Datos!R13-Datos!P13+Datos!Q13)," - ")</f>
        <v>2.664576802507837E-2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1094</v>
      </c>
      <c r="G16" s="333">
        <f>IF(ISNUMBER(IF(D_I="SI",Datos!I16,Datos!I16+Datos!AC16)),IF(D_I="SI",Datos!I16,Datos!I16+Datos!AC16)," - ")</f>
        <v>1092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490</v>
      </c>
      <c r="X16" s="226">
        <f>IF(ISNUMBER(Datos!Q16),Datos!Q16," - ")</f>
        <v>12</v>
      </c>
      <c r="Y16" s="334">
        <f t="shared" ref="Y16:Y17" si="7">SUM(W16:X16)</f>
        <v>502</v>
      </c>
      <c r="Z16" s="335" t="str">
        <f>IF(ISNUMBER(Datos!CC16),Datos!CC16," - ")</f>
        <v xml:space="preserve"> - </v>
      </c>
      <c r="AA16" s="332">
        <f>IF(ISNUMBER(IF(D_I="SI",Datos!L16,Datos!L16+Datos!AF16)),IF(D_I="SI",Datos!L16,Datos!L16+Datos!AF16)," - ")</f>
        <v>1364</v>
      </c>
      <c r="AB16" s="334">
        <f>IF(ISNUMBER(Datos!R16),Datos!R16," - ")</f>
        <v>75</v>
      </c>
      <c r="AC16" s="334">
        <f t="shared" si="6"/>
        <v>1439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55</v>
      </c>
      <c r="AJ16" s="231" t="str">
        <f>IF(ISNUMBER(Datos!BW16),Datos!BW16," - ")</f>
        <v xml:space="preserve"> - </v>
      </c>
      <c r="AK16" s="232" t="str">
        <f>IF(ISNUMBER(Datos!BX16),Datos!BX16," - ")</f>
        <v xml:space="preserve"> - </v>
      </c>
      <c r="AL16" s="243">
        <f>IF(ISNUMBER(NºAsuntos!G16/NºAsuntos!E16),NºAsuntos!G16/NºAsuntos!E16," - ")</f>
        <v>0.64473684210526316</v>
      </c>
      <c r="AM16" s="260">
        <f>IF(ISNUMBER(((NºAsuntos!I16/NºAsuntos!G16)*11)/factor_trimestre),((NºAsuntos!I16/NºAsuntos!G16)*11)/factor_trimestre," - ")</f>
        <v>5.5673469387755103</v>
      </c>
      <c r="AN16" s="244">
        <f>IF(ISNUMBER('Resol  Asuntos'!D16/NºAsuntos!G16),'Resol  Asuntos'!D16/NºAsuntos!G16," - ")</f>
        <v>0.11224489795918367</v>
      </c>
      <c r="AO16" s="245">
        <f>IF(ISNUMBER((NºAsuntos!C16+NºAsuntos!E16)/NºAsuntos!G16),(NºAsuntos!C16+NºAsuntos!E16)/NºAsuntos!G16," - ")</f>
        <v>3.7795918367346939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40</v>
      </c>
      <c r="X17" s="226">
        <f>IF(ISNUMBER(Datos!Q17),Datos!Q17," - ")</f>
        <v>1</v>
      </c>
      <c r="Y17" s="334">
        <f t="shared" si="7"/>
        <v>41</v>
      </c>
      <c r="Z17" s="335" t="str">
        <f>IF(ISNUMBER(Datos!CC17),Datos!CC17," - ")</f>
        <v xml:space="preserve"> - </v>
      </c>
      <c r="AA17" s="332">
        <f>IF(ISNUMBER(Datos!L17),Datos!L17,"-")</f>
        <v>168</v>
      </c>
      <c r="AB17" s="334">
        <f>IF(ISNUMBER(Datos!R17),Datos!R17," - ")</f>
        <v>8</v>
      </c>
      <c r="AC17" s="334">
        <f t="shared" si="6"/>
        <v>176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0.43956043956043955</v>
      </c>
      <c r="AM17" s="260">
        <f>IF(ISNUMBER(((NºAsuntos!I17/NºAsuntos!G17)*11)/factor_trimestre),((NºAsuntos!I17/NºAsuntos!G17)*11)/factor_trimestre," - ")</f>
        <v>8.4</v>
      </c>
      <c r="AN17" s="244">
        <f>IF(ISNUMBER('Resol  Asuntos'!D17/NºAsuntos!G17),'Resol  Asuntos'!D17/NºAsuntos!G17," - ")</f>
        <v>0.375</v>
      </c>
      <c r="AO17" s="245">
        <f>IF(ISNUMBER((NºAsuntos!C17+NºAsuntos!E17)/NºAsuntos!G17),(NºAsuntos!C17+NºAsuntos!E17)/NºAsuntos!G17," - ")</f>
        <v>5.1749999999999998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1094</v>
      </c>
      <c r="G18" s="866">
        <f>SUBTOTAL(9,G15:G17)</f>
        <v>1208</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530</v>
      </c>
      <c r="X18" s="867">
        <f t="shared" si="11"/>
        <v>13</v>
      </c>
      <c r="Y18" s="868">
        <f t="shared" si="11"/>
        <v>543</v>
      </c>
      <c r="Z18" s="868">
        <f t="shared" si="11"/>
        <v>0</v>
      </c>
      <c r="AA18" s="868">
        <f t="shared" si="11"/>
        <v>1532</v>
      </c>
      <c r="AB18" s="868">
        <f t="shared" si="11"/>
        <v>83</v>
      </c>
      <c r="AC18" s="868">
        <f t="shared" si="11"/>
        <v>1615</v>
      </c>
      <c r="AD18" s="868">
        <f t="shared" si="11"/>
        <v>0</v>
      </c>
      <c r="AE18" s="872">
        <f t="shared" si="11"/>
        <v>0</v>
      </c>
      <c r="AF18" s="865">
        <f t="shared" si="11"/>
        <v>0</v>
      </c>
      <c r="AG18" s="873">
        <f t="shared" si="11"/>
        <v>0</v>
      </c>
      <c r="AH18" s="870">
        <f t="shared" si="11"/>
        <v>0</v>
      </c>
      <c r="AI18" s="865">
        <f t="shared" si="11"/>
        <v>70</v>
      </c>
      <c r="AJ18" s="867">
        <f t="shared" si="11"/>
        <v>0</v>
      </c>
      <c r="AK18" s="870">
        <f t="shared" si="11"/>
        <v>0</v>
      </c>
      <c r="AL18" s="874">
        <f>IF(ISNUMBER(NºAsuntos!G18/NºAsuntos!E18),NºAsuntos!G18/NºAsuntos!E18," - ")</f>
        <v>0.62279670975323154</v>
      </c>
      <c r="AM18" s="874">
        <f>IF(ISNUMBER(((NºAsuntos!I18/NºAsuntos!G18)*11)/factor_trimestre),((NºAsuntos!I18/NºAsuntos!G18)*11)/factor_trimestre," - ")</f>
        <v>5.7811320754716977</v>
      </c>
      <c r="AN18" s="875">
        <f>IF(ISNUMBER('Resol  Asuntos'!D18/NºAsuntos!G18),'Resol  Asuntos'!D18/NºAsuntos!G18," - ")</f>
        <v>0.13207547169811321</v>
      </c>
      <c r="AO18" s="876">
        <f>IF(ISNUMBER((NºAsuntos!C18+NºAsuntos!E18)/NºAsuntos!G18),(NºAsuntos!C18+NºAsuntos!E18)/NºAsuntos!G18," - ")</f>
        <v>3.8849056603773584</v>
      </c>
      <c r="AP18" s="877" t="str">
        <f t="shared" si="2"/>
        <v xml:space="preserve"> - </v>
      </c>
      <c r="AQ18" s="877">
        <f>IF(ISNUMBER((H18-W18+K18)/(F18)),(H18-W18+K18)/(F18)," - ")</f>
        <v>-0.48446069469835468</v>
      </c>
      <c r="AR18" s="878">
        <f>IF(ISNUMBER((Datos!P18-Datos!Q18)/(Datos!R18-Datos!P18+Datos!Q18)),(Datos!P18-Datos!Q18)/(Datos!R18-Datos!P18+Datos!Q18)," - ")</f>
        <v>0.18571428571428572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1110</v>
      </c>
      <c r="G19" s="821">
        <f t="shared" si="13"/>
        <v>1224</v>
      </c>
      <c r="H19" s="820">
        <f t="shared" si="13"/>
        <v>0</v>
      </c>
      <c r="I19" s="822">
        <f t="shared" si="13"/>
        <v>0</v>
      </c>
      <c r="J19" s="822">
        <f t="shared" si="13"/>
        <v>0</v>
      </c>
      <c r="K19" s="881">
        <f t="shared" si="13"/>
        <v>0</v>
      </c>
      <c r="L19" s="822">
        <f t="shared" si="13"/>
        <v>132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538</v>
      </c>
      <c r="X19" s="821">
        <f t="shared" si="14"/>
        <v>34</v>
      </c>
      <c r="Y19" s="828">
        <f t="shared" si="14"/>
        <v>572</v>
      </c>
      <c r="Z19" s="828">
        <f t="shared" si="14"/>
        <v>0</v>
      </c>
      <c r="AA19" s="828">
        <f t="shared" si="14"/>
        <v>1546</v>
      </c>
      <c r="AB19" s="828">
        <f t="shared" si="14"/>
        <v>3358</v>
      </c>
      <c r="AC19" s="828">
        <f t="shared" si="14"/>
        <v>1639</v>
      </c>
      <c r="AD19" s="828">
        <f t="shared" si="14"/>
        <v>0</v>
      </c>
      <c r="AE19" s="830">
        <f t="shared" si="14"/>
        <v>0</v>
      </c>
      <c r="AF19" s="831">
        <f t="shared" si="14"/>
        <v>0</v>
      </c>
      <c r="AG19" s="832">
        <f t="shared" si="14"/>
        <v>0</v>
      </c>
      <c r="AH19" s="830">
        <f t="shared" si="14"/>
        <v>0</v>
      </c>
      <c r="AI19" s="820">
        <f t="shared" si="14"/>
        <v>127</v>
      </c>
      <c r="AJ19" s="820">
        <f t="shared" si="14"/>
        <v>0</v>
      </c>
      <c r="AK19" s="830">
        <f t="shared" si="14"/>
        <v>0</v>
      </c>
      <c r="AL19" s="884">
        <f>IF(ISNUMBER(NºAsuntos!G19/NºAsuntos!E19),NºAsuntos!G19/NºAsuntos!E19," - ")</f>
        <v>0.55106237148732007</v>
      </c>
      <c r="AM19" s="885">
        <f>IF(ISNUMBER(((NºAsuntos!I19/NºAsuntos!G19)*11)/factor_trimestre),((NºAsuntos!I19/NºAsuntos!G19)*11)/factor_trimestre," - ")</f>
        <v>11.748756218905472</v>
      </c>
      <c r="AN19" s="885">
        <f>IF(ISNUMBER('Resol  Asuntos'!D19/NºAsuntos!G19),'Resol  Asuntos'!D19/NºAsuntos!G19," - ")</f>
        <v>0.15796019900497513</v>
      </c>
      <c r="AO19" s="886">
        <f>IF(ISNUMBER((NºAsuntos!C19+NºAsuntos!E19)/NºAsuntos!G19),(NºAsuntos!C19+NºAsuntos!E19)/NºAsuntos!G19," - ")</f>
        <v>6.8706467661691546</v>
      </c>
      <c r="AP19" s="887" t="str">
        <f t="shared" si="2"/>
        <v xml:space="preserve"> - </v>
      </c>
      <c r="AQ19" s="888">
        <f>IF(OR(ISNUMBER(FIND("01",Criterios!A8,1)),ISNUMBER(FIND("02",Criterios!A8,1)),ISNUMBER(FIND("03",Criterios!A8,1)),ISNUMBER(FIND("04",Criterios!A8,1))),(I19-W19+K19)/(F19-K19),(H19-W19+K19)/(F19-K19))</f>
        <v>-0.48468468468468467</v>
      </c>
      <c r="AR19" s="889">
        <f>IF(ISNUMBER((Datos!P19-Datos!Q19)/(Datos!R19-Datos!P19+Datos!Q19)),(Datos!P19-Datos!Q19)/(Datos!R19-Datos!P19+Datos!Q19)," - ")</f>
        <v>3.0061349693251534E-2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622.38359018641654</v>
      </c>
      <c r="G21" s="253">
        <f>IF(ISNUMBER(STDEV(G8:G18)),STDEV(G8:G18),"-")</f>
        <v>605.63091070387088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269.80214973198417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27.911765738961531</v>
      </c>
      <c r="AJ21" s="252">
        <f t="shared" si="18"/>
        <v>0</v>
      </c>
      <c r="AK21" s="254">
        <f t="shared" si="18"/>
        <v>0</v>
      </c>
      <c r="AL21" s="249">
        <f t="shared" si="18"/>
        <v>0.34492764770708689</v>
      </c>
      <c r="AM21" s="250">
        <f t="shared" si="18"/>
        <v>9.3130646199444165</v>
      </c>
      <c r="AN21" s="250">
        <f t="shared" si="18"/>
        <v>0.1257206043162433</v>
      </c>
      <c r="AO21" s="251">
        <f t="shared" si="18"/>
        <v>4.6595984985180916</v>
      </c>
      <c r="AP21" s="291" t="str">
        <f t="shared" si="18"/>
        <v>-</v>
      </c>
      <c r="AQ21" s="292">
        <f t="shared" si="18"/>
        <v>1.0987948153721477E-2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nov. 2024</v>
      </c>
      <c r="D30" s="120"/>
    </row>
    <row r="32" spans="1:65">
      <c r="C32" s="1"/>
      <c r="D32" s="1"/>
    </row>
  </sheetData>
  <sheetProtection algorithmName="SHA-512" hashValue="WU6cuaSGugdmkyQpCjel+OStmCVRbgr+Qzt00bgHtiRiDwwYuK27qVvkoPDqlUCygWvN6p54oRn3bE8xMEs7TA==" saltValue="c8tWTyUuI0FAJhlJESYk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LUCENA</v>
      </c>
      <c r="E4" s="263"/>
    </row>
    <row r="5" spans="2:20" ht="12.75" customHeight="1">
      <c r="B5" s="272"/>
      <c r="C5" s="1266" t="str">
        <f>"Año:  " &amp;Criterios!B5 &amp; "          Trimestre   " &amp;Criterios!D5 &amp; " al " &amp;Criterios!D6</f>
        <v>Año:  2024          Trimestre   3 al 3</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0.77777777777777779</v>
      </c>
      <c r="E10" s="348">
        <f>IF(ISNUMBER((Datos!J10-Datos!T10)/Datos!T10),(Datos!J10-Datos!T10)/Datos!T10," - ")</f>
        <v>1</v>
      </c>
      <c r="F10" s="348" t="str">
        <f>IF(ISNUMBER((Datos!K10-Datos!U10)/Datos!U10),(Datos!K10-Datos!U10)/Datos!U10," - ")</f>
        <v xml:space="preserve"> - </v>
      </c>
      <c r="G10" s="349">
        <f>IF(ISNUMBER((Datos!L10-Datos!V10)/Datos!V10),(Datos!L10-Datos!V10)/Datos!V10," - ")</f>
        <v>0.16666666666666666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-0.109375</v>
      </c>
      <c r="I12" s="350">
        <f>IF(ISNUMBER((Tasas!C12-Datos!BE12)/Datos!BE12),(Tasas!C12-Datos!BE12)/Datos!BE12," - ")</f>
        <v>1.7316412967326922</v>
      </c>
      <c r="J12" s="349">
        <f>IF(ISNUMBER((Tasas!D12-Datos!BF12)/Datos!BF12),(Tasas!D12-Datos!BF12)/Datos!BF12," - ")</f>
        <v>-0.34566326530612246</v>
      </c>
      <c r="K12" s="351">
        <f>IF(ISNUMBER((Tasas!E12-Datos!BG12)/Datos!BG12),(Tasas!E12-Datos!BG12)/Datos!BG12," - ")</f>
        <v>1.404080893762284</v>
      </c>
      <c r="M12" t="e">
        <f>IF(Monitorios="SI",Datos!CE12,0)</f>
        <v>#REF!</v>
      </c>
      <c r="N12" t="e">
        <f>IF(Monitorios="SI",Datos!CF12,0)</f>
        <v>#REF!</v>
      </c>
      <c r="O12" t="e">
        <f>IF(Monitorios="SI",Datos!CG12,0)</f>
        <v>#REF!</v>
      </c>
      <c r="P12" t="e">
        <f>IF(Monitorios="SI",Datos!CH12,0)</f>
        <v>#REF!</v>
      </c>
      <c r="Q12">
        <f>IF(J_V="SI",0,Datos!AG12)</f>
        <v>197</v>
      </c>
      <c r="R12">
        <f>IF(J_V="SI",0,Datos!AH12)</f>
        <v>71</v>
      </c>
      <c r="S12">
        <f>IF(J_V="SI",0,Datos!AI12)</f>
        <v>91</v>
      </c>
      <c r="T12">
        <f>IF(J_V="SI",0,Datos!AJ12)</f>
        <v>177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-0.109375</v>
      </c>
      <c r="I13" s="357">
        <f>IF(ISNUMBER((Tasas!C13-Datos!BE13)/Datos!BE13),(Tasas!C13-Datos!BE13)/Datos!BE13," - ")</f>
        <v>1.6493971223720201</v>
      </c>
      <c r="J13" s="355">
        <f>IF(ISNUMBER((Tasas!D13-Datos!BF13)/Datos!BF13),(Tasas!D13-Datos!BF13)/Datos!BF13," - ")</f>
        <v>-0.36476798748696554</v>
      </c>
      <c r="K13" s="358">
        <f>IF(ISNUMBER((Tasas!E13-Datos!BG13)/Datos!BG13),(Tasas!E13-Datos!BG13)/Datos!BG13," - ")</f>
        <v>1.3386411358864112</v>
      </c>
      <c r="M13" t="e">
        <f>IF(Monitorios="SI",Datos!CE13,0)</f>
        <v>#REF!</v>
      </c>
      <c r="N13" t="e">
        <f>IF(Monitorios="SI",Datos!CF13,0)</f>
        <v>#REF!</v>
      </c>
      <c r="O13" t="e">
        <f>IF(Monitorios="SI",Datos!CG13,0)</f>
        <v>#REF!</v>
      </c>
      <c r="P13" t="e">
        <f>IF(Monitorios="SI",Datos!CH13,0)</f>
        <v>#REF!</v>
      </c>
      <c r="Q13">
        <f>IF(J_V="SI",0,Datos!AG13)</f>
        <v>197</v>
      </c>
      <c r="R13">
        <f>IF(J_V="SI",0,Datos!AH13)</f>
        <v>71</v>
      </c>
      <c r="S13">
        <f>IF(J_V="SI",0,Datos!AI13)</f>
        <v>91</v>
      </c>
      <c r="T13">
        <f>IF(J_V="SI",0,Datos!AJ13)</f>
        <v>177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0.20796460176991149</v>
      </c>
      <c r="E16" s="348">
        <f>IF(ISNUMBER(
   IF(D_I="SI",(Datos!J16-Datos!T16)/Datos!T16,(Datos!J16+Datos!AD16-(Datos!T16+Datos!AL16))/(Datos!T16+Datos!AL16))
     ),IF(D_I="SI",(Datos!J16-Datos!T16)/Datos!T16,(Datos!J16+Datos!AD16-(Datos!T16+Datos!AL16))/(Datos!T16+Datos!AL16))," - ")</f>
        <v>0.19496855345911951</v>
      </c>
      <c r="F16" s="348">
        <f>IF(ISNUMBER(
   IF(D_I="SI",(Datos!K16-Datos!U16)/Datos!U16,(Datos!K16+Datos!AE16-(Datos!U16+Datos!AM16))/(Datos!U16+Datos!AM16))
     ),IF(D_I="SI",(Datos!K16-Datos!U16)/Datos!U16,(Datos!K16+Datos!AE16-(Datos!U16+Datos!AM16))/(Datos!U16+Datos!AM16))," - ")</f>
        <v>-0.38902743142144636</v>
      </c>
      <c r="G16" s="349">
        <f>IF(ISNUMBER(
   IF(D_I="SI",(Datos!L16-Datos!V16)/Datos!V16,(Datos!L16+Datos!AF16-(Datos!V16+Datos!AN16))/(Datos!V16+Datos!AN16))
     ),IF(D_I="SI",(Datos!L16-Datos!V16)/Datos!V16,(Datos!L16+Datos!AF16-(Datos!V16+Datos!AN16))/(Datos!V16+Datos!AN16))," - ")</f>
        <v>0.84075573549257765</v>
      </c>
      <c r="H16" s="230">
        <f>IF(ISNUMBER((Datos!M16-Datos!W16)/Datos!W16),(Datos!M16-Datos!W16)/Datos!W16," - ")</f>
        <v>-0.2857142857142857</v>
      </c>
      <c r="I16" s="350">
        <f>IF(ISNUMBER((Tasas!C16-Datos!BE16)/Datos!BE16),(Tasas!C16-Datos!BE16)/Datos!BE16," - ")</f>
        <v>2.0128287752347904</v>
      </c>
      <c r="J16" s="349">
        <f>IF(ISNUMBER((Tasas!D16-Datos!BF16)/Datos!BF16),(Tasas!D16-Datos!BF16)/Datos!BF16," - ")</f>
        <v>0.16909620991253643</v>
      </c>
      <c r="K16" s="351">
        <f>IF(ISNUMBER((Tasas!E16-Datos!BG16)/Datos!BG16),(Tasas!E16-Datos!BG16)/Datos!BG16," - ")</f>
        <v>0.96833289159819769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0.93333333333333335</v>
      </c>
      <c r="E17" s="348">
        <f>IF(ISNUMBER(
   IF(D_I="SI",(Datos!J17-Datos!T17)/Datos!T17,(Datos!J17+Datos!AD17-(Datos!T17+Datos!AL17))/(Datos!T17+Datos!AL17))
     ),IF(D_I="SI",(Datos!J17-Datos!T17)/Datos!T17,(Datos!J17+Datos!AD17-(Datos!T17+Datos!AL17))/(Datos!T17+Datos!AL17))," - ")</f>
        <v>0.33823529411764708</v>
      </c>
      <c r="F17" s="348">
        <f>IF(ISNUMBER(
   IF(D_I="SI",(Datos!K17-Datos!U17)/Datos!U17,(Datos!K17+Datos!AE17-(Datos!U17+Datos!AM17))/(Datos!U17+Datos!AM17))
     ),IF(D_I="SI",(Datos!K17-Datos!U17)/Datos!U17,(Datos!K17+Datos!AE17-(Datos!U17+Datos!AM17))/(Datos!U17+Datos!AM17))," - ")</f>
        <v>-0.44444444444444442</v>
      </c>
      <c r="G17" s="349">
        <f>IF(ISNUMBER(
   IF(D_I="SI",(Datos!L17-Datos!V17)/Datos!V17,(Datos!L17+Datos!AF17-(Datos!V17+Datos!AN17))/(Datos!V17+Datos!AN17))
     ),IF(D_I="SI",(Datos!L17-Datos!V17)/Datos!V17,(Datos!L17+Datos!AF17-(Datos!V17+Datos!AN17))/(Datos!V17+Datos!AN17))," - ")</f>
        <v>1.9473684210526316</v>
      </c>
      <c r="H17" s="230">
        <f>IF(ISNUMBER((Datos!M17-Datos!W17)/Datos!W17),(Datos!M17-Datos!W17)/Datos!W17," - ")</f>
        <v>0.25</v>
      </c>
      <c r="I17" s="350">
        <f>IF(ISNUMBER((Tasas!C17-Datos!BE17)/Datos!BE17),(Tasas!C17-Datos!BE17)/Datos!BE17," - ")</f>
        <v>4.3052631578947373</v>
      </c>
      <c r="J17" s="349">
        <f>IF(ISNUMBER((Tasas!D17-Datos!BF17)/Datos!BF17),(Tasas!D17-Datos!BF17)/Datos!BF17," - ")</f>
        <v>1.2500000000000002</v>
      </c>
      <c r="K17" s="351">
        <f>IF(ISNUMBER((Tasas!E17-Datos!BG17)/Datos!BG17),(Tasas!E17-Datos!BG17)/Datos!BG17," - ")</f>
        <v>1.9109375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0.25311203319502074</v>
      </c>
      <c r="E18" s="354">
        <f>IF(ISNUMBER(
   IF(D_I="SI",(Datos!J18-Datos!T18)/Datos!T18,(Datos!J18+Datos!AD18-(Datos!T18+Datos!AL18))/(Datos!T18+Datos!AL18))
     ),IF(D_I="SI",(Datos!J18-Datos!T18)/Datos!T18,(Datos!J18+Datos!AD18-(Datos!T18+Datos!AL18))/(Datos!T18+Datos!AL18))," - ")</f>
        <v>0.20880681818181818</v>
      </c>
      <c r="F18" s="354">
        <f>IF(ISNUMBER(
   IF(D_I="SI",(Datos!K18-Datos!U18)/Datos!U18,(Datos!K18+Datos!AE18-(Datos!U18+Datos!AM18))/(Datos!U18+Datos!AM18))
     ),IF(D_I="SI",(Datos!K18-Datos!U18)/Datos!U18,(Datos!K18+Datos!AE18-(Datos!U18+Datos!AM18))/(Datos!U18+Datos!AM18))," - ")</f>
        <v>-0.39359267734553777</v>
      </c>
      <c r="G18" s="355">
        <f>IF(ISNUMBER(
   IF(D_I="SI",(Datos!L18-Datos!V18)/Datos!V18,(Datos!L18+Datos!AF18-(Datos!V18+Datos!AN18))/(Datos!V18+Datos!AN18))
     ),IF(D_I="SI",(Datos!L18-Datos!V18)/Datos!V18,(Datos!L18+Datos!AF18-(Datos!V18+Datos!AN18))/(Datos!V18+Datos!AN18))," - ")</f>
        <v>0.91979949874686717</v>
      </c>
      <c r="H18" s="356">
        <f>IF(ISNUMBER((Datos!M18-Datos!W18)/Datos!W18),(Datos!M18-Datos!W18)/Datos!W18," - ")</f>
        <v>-0.21348314606741572</v>
      </c>
      <c r="I18" s="357">
        <f>IF(ISNUMBER((Tasas!C18-Datos!BE18)/Datos!BE18),(Tasas!C18-Datos!BE18)/Datos!BE18," - ")</f>
        <v>2.1658580413297392</v>
      </c>
      <c r="J18" s="355">
        <f>IF(ISNUMBER((Tasas!D18-Datos!BF18)/Datos!BF18),(Tasas!D18-Datos!BF18)/Datos!BF18," - ")</f>
        <v>0.29701081195675211</v>
      </c>
      <c r="K18" s="358">
        <f>IF(ISNUMBER((Tasas!E18-Datos!BG18)/Datos!BG18),(Tasas!E18-Datos!BG18)/Datos!BG18," - ")</f>
        <v>1.0356160354735078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0.28761482420019008</v>
      </c>
      <c r="E19" s="363">
        <f>IF(ISNUMBER(
   IF(J_V="SI",(Datos!J19-Datos!T19)/Datos!T19,(Datos!J19+Datos!Z19-(Datos!T19+Datos!AH19))/(Datos!T19+Datos!AH19))
     ),IF(J_V="SI",(Datos!J19-Datos!T19)/Datos!T19,(Datos!J19+Datos!Z19-(Datos!T19+Datos!AH19))/(Datos!T19+Datos!AH19))," - ")</f>
        <v>0.13540856031128404</v>
      </c>
      <c r="F19" s="363">
        <f>IF(ISNUMBER(
   IF(J_V="SI",(Datos!K19-Datos!U19)/Datos!U19,(Datos!K19+Datos!AA19-(Datos!U19+Datos!AI19))/(Datos!U19+Datos!AI19))
     ),IF(J_V="SI",(Datos!K19-Datos!U19)/Datos!U19,(Datos!K19+Datos!AA19-(Datos!U19+Datos!AI19))/(Datos!U19+Datos!AI19))," - ")</f>
        <v>-0.42033165104542175</v>
      </c>
      <c r="G19" s="364">
        <f>IF(ISNUMBER(
   IF(J_V="SI",(Datos!L19-Datos!V19)/Datos!V19,(Datos!L19+Datos!AB19-(Datos!V19+Datos!AJ19))/(Datos!V19+Datos!AJ19))
     ),IF(J_V="SI",(Datos!L19-Datos!V19)/Datos!V19,(Datos!L19+Datos!AB19-(Datos!V19+Datos!AJ19))/(Datos!V19+Datos!AJ19))," - ")</f>
        <v>0.54700294792007864</v>
      </c>
      <c r="H19" s="365">
        <f>IF(ISNUMBER((Datos!M19-Datos!W19)/Datos!W19),(Datos!M19-Datos!W19)/Datos!W19," - ")</f>
        <v>-0.16993464052287582</v>
      </c>
      <c r="I19" s="362">
        <f>IF(ISNUMBER((Tasas!C19-Datos!BE19)/Datos!BE19),(Tasas!C19-Datos!BE19)/Datos!BE19," - ")</f>
        <v>1.6687724984641161</v>
      </c>
      <c r="J19" s="363">
        <f>IF(ISNUMBER((Tasas!D19-Datos!BF19)/Datos!BF19),(Tasas!D19-Datos!BF19)/Datos!BF19," - ")</f>
        <v>-0.14750663027276065</v>
      </c>
      <c r="K19" s="364">
        <f>IF(ISNUMBER((Tasas!E19-Datos!BG19)/Datos!BG19),(Tasas!E19-Datos!BG19)/Datos!BG19," - ")</f>
        <v>1.1453370249159427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0.36686258035889235</v>
      </c>
      <c r="E21" s="278">
        <f t="shared" si="1"/>
        <v>0.38182275488322287</v>
      </c>
      <c r="F21" s="278">
        <f t="shared" si="1"/>
        <v>3.0761959787536337E-2</v>
      </c>
      <c r="G21" s="279">
        <f t="shared" si="1"/>
        <v>0.73480390331828482</v>
      </c>
      <c r="H21" s="285">
        <f t="shared" si="1"/>
        <v>0.20605735135141864</v>
      </c>
      <c r="I21" s="277">
        <f t="shared" si="1"/>
        <v>1.1001379600178831</v>
      </c>
      <c r="J21" s="278">
        <f t="shared" si="1"/>
        <v>0.65756577195782751</v>
      </c>
      <c r="K21" s="279">
        <f t="shared" si="1"/>
        <v>0.37433423070285671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nov.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Kq9CNcXpwvv4EU9quoFVoHHzT9szyyoE2DDe23TirOBpHHfArFwphEnvyRlemYlRp773uiqH211jIvLS9R4yg==" saltValue="vHv1iNnjfMsQTJkpoPiu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2024-11-29T09:29:13Z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